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drawings/drawing1.xml" ContentType="application/vnd.openxmlformats-officedocument.drawing+xml"/>
  <Override PartName="/xl/worksheets/sheet4.xml" ContentType="application/vnd.openxmlformats-officedocument.spreadsheetml.worksheet+xml"/>
  <Override PartName="/xl/drawings/drawing2.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ver" sheetId="1" state="visible" r:id="rId1"/>
    <sheet name="Inputs" sheetId="2" state="visible" r:id="rId2"/>
    <sheet name="Prime Cost" sheetId="3" state="visible" r:id="rId3"/>
    <sheet name="Four-Wall" sheetId="4" state="visible" r:id="rId4"/>
    <sheet name="Menu Mix" sheetId="5" state="visible" r:id="rId5"/>
    <sheet name="8-Week Cash" sheetId="6" state="visible" r:id="rId6"/>
    <sheet name="Flash P&amp;L" sheetId="7" state="visible" r:id="rId7"/>
  </sheets>
  <definedNames>
    <definedName name="Company">Inputs!$C$6</definedName>
    <definedName name="PeriodLabel">Inputs!$C$7</definedName>
    <definedName name="Weeks">Inputs!$C$8</definedName>
    <definedName name="PrimeTarget">Inputs!$C$9</definedName>
    <definedName name="StartCash">Inputs!$C$10</definedName>
    <definedName name="OtherWeekly">Inputs!$C$11</definedName>
    <definedName name="SpreadOcc">Inputs!$C$12</definedName>
    <definedName name="Loc1Name">Inputs!$C$16</definedName>
    <definedName name="Loc2Name">Inputs!$D$16</definedName>
    <definedName name="Loc3Name">Inputs!$E$16</definedName>
    <definedName name="Loc1Sales">Inputs!$C$17</definedName>
    <definedName name="Loc2Sales">Inputs!$D$17</definedName>
    <definedName name="Loc3Sales">Inputs!$E$17</definedName>
    <definedName name="Loc1Food">Inputs!$C$18</definedName>
    <definedName name="Loc2Food">Inputs!$D$18</definedName>
    <definedName name="Loc3Food">Inputs!$E$18</definedName>
    <definedName name="Loc1Bev">Inputs!$C$19</definedName>
    <definedName name="Loc2Bev">Inputs!$D$19</definedName>
    <definedName name="Loc3Bev">Inputs!$E$19</definedName>
    <definedName name="Loc1Labor">Inputs!$C$20</definedName>
    <definedName name="Loc2Labor">Inputs!$D$20</definedName>
    <definedName name="Loc3Labor">Inputs!$E$20</definedName>
    <definedName name="Loc1Occ">Inputs!$C$21</definedName>
    <definedName name="Loc2Occ">Inputs!$D$21</definedName>
    <definedName name="Loc3Occ">Inputs!$E$21</definedName>
    <definedName name="GroupSales">Inputs!$F$17</definedName>
    <definedName name="GroupFood">Inputs!$F$18</definedName>
    <definedName name="GroupBev">Inputs!$F$19</definedName>
    <definedName name="GroupLabor">Inputs!$F$20</definedName>
    <definedName name="GroupOcc">Inputs!$F$21</definedName>
    <definedName name="_xlnm.Print_Area" localSheetId="0">'Cover'!$A$1:$G$36</definedName>
    <definedName name="_xlnm.Print_Titles" localSheetId="1">'Inputs'!$1:$2</definedName>
    <definedName name="_xlnm.Print_Area" localSheetId="1">'Inputs'!$A$1:$H$50</definedName>
    <definedName name="_xlnm.Print_Titles" localSheetId="2">'Prime Cost'!$1:$2</definedName>
    <definedName name="_xlnm.Print_Area" localSheetId="2">'Prime Cost'!$A$1:$G$36</definedName>
    <definedName name="_xlnm.Print_Titles" localSheetId="3">'Four-Wall'!$1:$2</definedName>
    <definedName name="_xlnm.Print_Area" localSheetId="3">'Four-Wall'!$A$1:$G$32</definedName>
    <definedName name="_xlnm.Print_Titles" localSheetId="4">'Menu Mix'!$1:$6</definedName>
    <definedName name="_xlnm.Print_Area" localSheetId="4">'Menu Mix'!$A$1:$N$27</definedName>
    <definedName name="_xlnm.Print_Titles" localSheetId="5">'8-Week Cash'!$1:$7</definedName>
    <definedName name="_xlnm.Print_Area" localSheetId="5">'8-Week Cash'!$A$1:$M$20</definedName>
    <definedName name="_xlnm.Print_Area" localSheetId="6">'Flash P&amp;L'!$A$1:$L$28</definedName>
  </definedNames>
  <calcPr calcId="124519" calcMode="auto" fullCalcOnLoad="1"/>
</workbook>
</file>

<file path=xl/styles.xml><?xml version="1.0" encoding="utf-8"?>
<styleSheet xmlns="http://schemas.openxmlformats.org/spreadsheetml/2006/main">
  <numFmts count="4">
    <numFmt numFmtId="164" formatCode="0.0%"/>
    <numFmt numFmtId="165" formatCode="&quot;$&quot;#,##0"/>
    <numFmt numFmtId="166" formatCode="DD-MMM-YYYY"/>
    <numFmt numFmtId="167" formatCode="&quot;$&quot;#,##0.00"/>
  </numFmts>
  <fonts count="31">
    <font>
      <name val="Calibri"/>
      <family val="2"/>
      <color theme="1"/>
      <sz val="11"/>
      <scheme val="minor"/>
    </font>
    <font>
      <name val="Calibri"/>
      <color rgb="001B1B1B"/>
      <sz val="11"/>
    </font>
    <font>
      <name val="Calibri"/>
      <b val="1"/>
      <color rgb="00FFFFFF"/>
      <sz val="10"/>
    </font>
    <font>
      <name val="Calibri"/>
      <color rgb="00D6D0C8"/>
      <sz val="9"/>
    </font>
    <font>
      <name val="Calibri"/>
      <b val="1"/>
      <color rgb="00B33A1A"/>
      <sz val="11"/>
    </font>
    <font>
      <name val="Calibri"/>
      <b val="1"/>
      <color rgb="001B1B1B"/>
      <sz val="32"/>
    </font>
    <font>
      <name val="Calibri"/>
      <color rgb="006F6A63"/>
      <sz val="12"/>
    </font>
    <font>
      <name val="Calibri"/>
      <color rgb="001B1B1B"/>
      <sz val="12"/>
    </font>
    <font>
      <name val="Calibri"/>
      <color rgb="006F6A63"/>
      <sz val="10"/>
    </font>
    <font>
      <name val="Calibri"/>
      <color rgb="006F6A63"/>
      <sz val="9"/>
    </font>
    <font>
      <name val="Calibri"/>
      <b val="1"/>
      <color rgb="001B1B1B"/>
      <sz val="16"/>
    </font>
    <font>
      <name val="Calibri"/>
      <b val="1"/>
      <color rgb="001B1B1B"/>
      <sz val="11"/>
    </font>
    <font>
      <name val="Calibri"/>
      <b val="1"/>
      <color rgb="00FFFFFF"/>
      <sz val="9"/>
    </font>
    <font>
      <name val="Calibri"/>
      <color rgb="006F6A63"/>
      <sz val="11"/>
    </font>
    <font>
      <name val="Calibri"/>
      <color rgb="001B1B1B"/>
      <sz val="10"/>
    </font>
    <font>
      <name val="Calibri"/>
      <color rgb="006F6A63"/>
      <sz val="8"/>
    </font>
    <font>
      <name val="Calibri"/>
      <b val="1"/>
      <color rgb="00B33A1A"/>
      <sz val="10"/>
    </font>
    <font>
      <name val="Calibri"/>
      <b val="1"/>
      <color rgb="001B1B1B"/>
      <sz val="10"/>
    </font>
    <font>
      <name val="Calibri"/>
      <color rgb="001B1B1B"/>
      <sz val="9"/>
    </font>
    <font>
      <name val="Calibri"/>
      <b val="1"/>
      <color rgb="001B1B1B"/>
      <sz val="9"/>
    </font>
    <font>
      <name val="Calibri"/>
      <b val="1"/>
      <color rgb="006F6A63"/>
      <sz val="8"/>
    </font>
    <font>
      <name val="Calibri"/>
      <b val="1"/>
      <color rgb="00FFFFFF"/>
      <sz val="8"/>
    </font>
    <font>
      <name val="Calibri"/>
      <color rgb="00D6D0C8"/>
      <sz val="8"/>
    </font>
    <font>
      <name val="Calibri"/>
      <b val="1"/>
      <color rgb="00B33A1A"/>
      <sz val="14"/>
    </font>
    <font>
      <name val="Calibri"/>
      <b val="1"/>
      <color rgb="001B1B1B"/>
      <sz val="12"/>
    </font>
    <font>
      <name val="Calibri"/>
      <b val="1"/>
      <color rgb="001B1B1B"/>
      <sz val="18"/>
    </font>
    <font>
      <name val="Calibri"/>
      <color rgb="00FFFFFF"/>
      <sz val="8"/>
    </font>
    <font>
      <name val="Calibri"/>
      <color rgb="00B33A1A"/>
      <sz val="10"/>
    </font>
    <font>
      <name val="Calibri"/>
      <b val="1"/>
      <color rgb="00FFFFFF"/>
      <sz val="11"/>
    </font>
    <font>
      <name val="Calibri"/>
      <color rgb="00FFFFFF"/>
      <sz val="10"/>
    </font>
    <font>
      <name val="Calibri"/>
      <color rgb="001B1B1B"/>
      <sz val="8"/>
    </font>
  </fonts>
  <fills count="8">
    <fill>
      <patternFill/>
    </fill>
    <fill>
      <patternFill patternType="gray125"/>
    </fill>
    <fill>
      <patternFill patternType="solid">
        <fgColor rgb="00F3EDE3"/>
      </patternFill>
    </fill>
    <fill>
      <patternFill patternType="solid">
        <fgColor rgb="00FFFFFF"/>
      </patternFill>
    </fill>
    <fill>
      <patternFill patternType="solid">
        <fgColor rgb="00F7F4EE"/>
      </patternFill>
    </fill>
    <fill>
      <patternFill patternType="solid">
        <fgColor rgb="001B1B1B"/>
      </patternFill>
    </fill>
    <fill>
      <patternFill patternType="solid">
        <fgColor rgb="00F3F0EA"/>
      </patternFill>
    </fill>
    <fill>
      <patternFill patternType="solid">
        <fgColor rgb="00EFE8DC"/>
      </patternFill>
    </fill>
  </fills>
  <borders count="10">
    <border>
      <left/>
      <right/>
      <top/>
      <bottom/>
      <diagonal/>
    </border>
    <border>
      <left style="thin">
        <color rgb="00DDD6CC"/>
      </left>
      <right style="thin">
        <color rgb="00DDD6CC"/>
      </right>
      <top style="thin">
        <color rgb="00DDD6CC"/>
      </top>
      <bottom style="thin">
        <color rgb="00DDD6CC"/>
      </bottom>
    </border>
    <border>
      <bottom style="medium">
        <color rgb="00B33A1A"/>
      </bottom>
    </border>
    <border>
      <left/>
      <right/>
      <top/>
      <bottom style="medium">
        <color rgb="00B33A1A"/>
      </bottom>
      <diagonal/>
    </border>
    <border>
      <left/>
      <right/>
      <top style="thin">
        <color rgb="00DDD6CC"/>
      </top>
      <bottom/>
      <diagonal/>
    </border>
    <border>
      <left/>
      <right style="thin">
        <color rgb="00DDD6CC"/>
      </right>
      <top style="thin">
        <color rgb="00DDD6CC"/>
      </top>
      <bottom/>
      <diagonal/>
    </border>
    <border>
      <left/>
      <right/>
      <top style="thin">
        <color rgb="00DDD6CC"/>
      </top>
      <bottom style="thin">
        <color rgb="00DDD6CC"/>
      </bottom>
      <diagonal/>
    </border>
    <border>
      <left/>
      <right style="thin">
        <color rgb="00DDD6CC"/>
      </right>
      <top style="thin">
        <color rgb="00DDD6CC"/>
      </top>
      <bottom style="thin">
        <color rgb="00DDD6CC"/>
      </bottom>
      <diagonal/>
    </border>
    <border>
      <right/>
      <bottom style="medium">
        <color rgb="00B33A1A"/>
      </bottom>
    </border>
    <border>
      <bottom style="hair">
        <color rgb="00DDD6CC"/>
      </bottom>
    </border>
  </borders>
  <cellStyleXfs count="4">
    <xf numFmtId="0" fontId="0" fillId="0" borderId="0"/>
    <xf numFmtId="165" fontId="1" fillId="2" borderId="1" applyAlignment="1" applyProtection="1">
      <alignment horizontal="center" vertical="center" wrapText="1"/>
      <protection locked="0" hidden="0"/>
    </xf>
    <xf numFmtId="165" fontId="1" fillId="3" borderId="1" applyAlignment="1">
      <alignment horizontal="center" vertical="center" wrapText="1"/>
    </xf>
    <xf numFmtId="164" fontId="1" fillId="3" borderId="1" applyAlignment="1">
      <alignment horizontal="center" vertical="center" wrapText="1"/>
    </xf>
  </cellStyleXfs>
  <cellXfs count="122">
    <xf numFmtId="0" fontId="0" fillId="0" borderId="0" pivotButton="0" quotePrefix="0" xfId="0"/>
    <xf numFmtId="0" fontId="2" fillId="5" borderId="0" applyAlignment="1" pivotButton="0" quotePrefix="0" xfId="0">
      <alignment horizontal="center" vertical="center" wrapText="1"/>
    </xf>
    <xf numFmtId="0" fontId="2" fillId="5" borderId="0" applyAlignment="1" pivotButton="0" quotePrefix="0" xfId="0">
      <alignment horizontal="left" vertical="center"/>
    </xf>
    <xf numFmtId="0" fontId="3" fillId="5" borderId="0" applyAlignment="1" pivotButton="0" quotePrefix="0" xfId="0">
      <alignment horizontal="right" vertical="center"/>
    </xf>
    <xf numFmtId="0" fontId="0" fillId="4" borderId="0" pivotButton="0" quotePrefix="0" xfId="0"/>
    <xf numFmtId="0" fontId="4" fillId="4" borderId="0" applyAlignment="1" pivotButton="0" quotePrefix="0" xfId="0">
      <alignment horizontal="left" vertical="center" wrapText="1"/>
    </xf>
    <xf numFmtId="0" fontId="5" fillId="4" borderId="0" applyAlignment="1" pivotButton="0" quotePrefix="0" xfId="0">
      <alignment horizontal="left" vertical="center" wrapText="1"/>
    </xf>
    <xf numFmtId="0" fontId="6" fillId="4" borderId="0" applyAlignment="1" pivotButton="0" quotePrefix="0" xfId="0">
      <alignment horizontal="left" vertical="center" wrapText="1"/>
    </xf>
    <xf numFmtId="0" fontId="7" fillId="4" borderId="0" applyAlignment="1" pivotButton="0" quotePrefix="0" xfId="0">
      <alignment horizontal="left" vertical="top" wrapText="1"/>
    </xf>
    <xf numFmtId="0" fontId="4" fillId="4" borderId="2" applyAlignment="1" pivotButton="0" quotePrefix="0" xfId="0">
      <alignment horizontal="left" vertical="center" wrapText="1"/>
    </xf>
    <xf numFmtId="0" fontId="0" fillId="4" borderId="2" pivotButton="0" quotePrefix="0" xfId="0"/>
    <xf numFmtId="0" fontId="1" fillId="4" borderId="0" applyAlignment="1" pivotButton="0" quotePrefix="0" xfId="0">
      <alignment horizontal="left" vertical="top" wrapText="1"/>
    </xf>
    <xf numFmtId="0" fontId="8" fillId="4" borderId="0" applyAlignment="1" pivotButton="0" quotePrefix="0" xfId="0">
      <alignment horizontal="left" vertical="top" wrapText="1"/>
    </xf>
    <xf numFmtId="0" fontId="8" fillId="4" borderId="0" applyAlignment="1" pivotButton="0" quotePrefix="0" xfId="0">
      <alignment horizontal="left" vertical="center" wrapText="1"/>
    </xf>
    <xf numFmtId="0" fontId="9" fillId="4" borderId="0" applyAlignment="1" pivotButton="0" quotePrefix="0" xfId="0">
      <alignment horizontal="left" vertical="center" wrapText="1"/>
    </xf>
    <xf numFmtId="0" fontId="0" fillId="0" borderId="3" pivotButton="0" quotePrefix="0" xfId="0"/>
    <xf numFmtId="0" fontId="10" fillId="4" borderId="0" applyAlignment="1" pivotButton="0" quotePrefix="0" xfId="0">
      <alignment horizontal="left" vertical="center" wrapText="1"/>
    </xf>
    <xf numFmtId="0" fontId="4" fillId="4" borderId="2" applyAlignment="1" pivotButton="0" quotePrefix="0" xfId="0">
      <alignment horizontal="left" vertical="center"/>
    </xf>
    <xf numFmtId="0" fontId="1" fillId="2" borderId="1" applyAlignment="1" applyProtection="1" pivotButton="0" quotePrefix="0" xfId="0">
      <alignment horizontal="left" vertical="center"/>
      <protection locked="0" hidden="0"/>
    </xf>
    <xf numFmtId="0" fontId="0" fillId="2" borderId="1" applyProtection="1" pivotButton="0" quotePrefix="0" xfId="0">
      <protection locked="0" hidden="0"/>
    </xf>
    <xf numFmtId="3" fontId="1" fillId="2" borderId="1" applyAlignment="1" applyProtection="1" pivotButton="0" quotePrefix="0" xfId="0">
      <alignment horizontal="center" vertical="center" wrapText="1"/>
      <protection locked="0" hidden="0"/>
    </xf>
    <xf numFmtId="164" fontId="1" fillId="2" borderId="1" applyAlignment="1" applyProtection="1" pivotButton="0" quotePrefix="0" xfId="0">
      <alignment horizontal="center" vertical="center" wrapText="1"/>
      <protection locked="0" hidden="0"/>
    </xf>
    <xf numFmtId="165" fontId="1" fillId="2" borderId="1" applyAlignment="1" applyProtection="1" pivotButton="0" quotePrefix="0" xfId="0">
      <alignment horizontal="center" vertical="center" wrapText="1"/>
      <protection locked="0" hidden="0"/>
    </xf>
    <xf numFmtId="0" fontId="1" fillId="2" borderId="1" applyAlignment="1" applyProtection="1" pivotButton="0" quotePrefix="0" xfId="0">
      <alignment horizontal="center" vertical="center" wrapText="1"/>
      <protection locked="0" hidden="0"/>
    </xf>
    <xf numFmtId="0" fontId="8" fillId="6" borderId="1" applyAlignment="1" pivotButton="0" quotePrefix="0" xfId="0">
      <alignment horizontal="center" vertical="center" wrapText="1"/>
    </xf>
    <xf numFmtId="165" fontId="1" fillId="6" borderId="1" applyAlignment="1" pivotButton="0" quotePrefix="0" xfId="0">
      <alignment horizontal="center" vertical="center" wrapText="1"/>
    </xf>
    <xf numFmtId="164" fontId="1" fillId="3" borderId="1" applyAlignment="1" pivotButton="0" quotePrefix="0" xfId="0">
      <alignment horizontal="center" vertical="center" wrapText="1"/>
    </xf>
    <xf numFmtId="164" fontId="11" fillId="6" borderId="1" applyAlignment="1" pivotButton="0" quotePrefix="0" xfId="0">
      <alignment horizontal="center" vertical="center" wrapText="1"/>
    </xf>
    <xf numFmtId="165" fontId="1" fillId="3" borderId="1" applyAlignment="1" pivotButton="0" quotePrefix="0" xfId="0">
      <alignment horizontal="center" vertical="center" wrapText="1"/>
    </xf>
    <xf numFmtId="165" fontId="11" fillId="6" borderId="1" applyAlignment="1" pivotButton="0" quotePrefix="0" xfId="0">
      <alignment horizontal="center" vertical="center" wrapText="1"/>
    </xf>
    <xf numFmtId="164" fontId="4" fillId="3" borderId="1" applyAlignment="1" pivotButton="0" quotePrefix="0" xfId="0">
      <alignment horizontal="center" vertical="center" wrapText="1"/>
    </xf>
    <xf numFmtId="164" fontId="4" fillId="6" borderId="1" applyAlignment="1" pivotButton="0" quotePrefix="0" xfId="0">
      <alignment horizontal="center" vertical="center" wrapText="1"/>
    </xf>
    <xf numFmtId="0" fontId="9" fillId="4" borderId="0" applyAlignment="1" pivotButton="0" quotePrefix="0" xfId="0">
      <alignment horizontal="left" vertical="top" wrapText="1"/>
    </xf>
    <xf numFmtId="0" fontId="12" fillId="5" borderId="0" applyAlignment="1" pivotButton="0" quotePrefix="0" xfId="0">
      <alignment horizontal="center" vertical="center" wrapText="1"/>
    </xf>
    <xf numFmtId="166" fontId="1" fillId="2" borderId="1" applyAlignment="1" applyProtection="1" pivotButton="0" quotePrefix="0" xfId="0">
      <alignment horizontal="center" vertical="center" wrapText="1"/>
      <protection locked="0" hidden="0"/>
    </xf>
    <xf numFmtId="165" fontId="8" fillId="6" borderId="1" applyAlignment="1" pivotButton="0" quotePrefix="0" xfId="0">
      <alignment horizontal="center" vertical="center" wrapText="1"/>
    </xf>
    <xf numFmtId="0" fontId="4" fillId="4" borderId="8" applyAlignment="1" pivotButton="0" quotePrefix="0" xfId="0">
      <alignment horizontal="left" vertical="center" wrapText="1"/>
    </xf>
    <xf numFmtId="0" fontId="0" fillId="0" borderId="6" applyProtection="1" pivotButton="0" quotePrefix="0" xfId="0">
      <protection locked="0" hidden="0"/>
    </xf>
    <xf numFmtId="0" fontId="0" fillId="0" borderId="7" applyProtection="1" pivotButton="0" quotePrefix="0" xfId="0">
      <protection locked="0" hidden="0"/>
    </xf>
    <xf numFmtId="164" fontId="1" fillId="2" borderId="1" applyAlignment="1" applyProtection="1" pivotButton="0" quotePrefix="0" xfId="0">
      <alignment horizontal="center" vertical="center" wrapText="1"/>
      <protection locked="0" hidden="0"/>
    </xf>
    <xf numFmtId="165" fontId="1" fillId="2" borderId="1" applyAlignment="1" applyProtection="1" pivotButton="0" quotePrefix="0" xfId="0">
      <alignment horizontal="center" vertical="center" wrapText="1"/>
      <protection locked="0" hidden="0"/>
    </xf>
    <xf numFmtId="165" fontId="1" fillId="6" borderId="1" applyAlignment="1" pivotButton="0" quotePrefix="0" xfId="0">
      <alignment horizontal="center" vertical="center" wrapText="1"/>
    </xf>
    <xf numFmtId="164" fontId="1" fillId="3" borderId="1" applyAlignment="1" pivotButton="0" quotePrefix="0" xfId="0">
      <alignment horizontal="center" vertical="center" wrapText="1"/>
    </xf>
    <xf numFmtId="164" fontId="11" fillId="6" borderId="1" applyAlignment="1" pivotButton="0" quotePrefix="0" xfId="0">
      <alignment horizontal="center" vertical="center" wrapText="1"/>
    </xf>
    <xf numFmtId="165" fontId="1" fillId="3" borderId="1" applyAlignment="1" pivotButton="0" quotePrefix="0" xfId="0">
      <alignment horizontal="center" vertical="center" wrapText="1"/>
    </xf>
    <xf numFmtId="165" fontId="11" fillId="6" borderId="1" applyAlignment="1" pivotButton="0" quotePrefix="0" xfId="0">
      <alignment horizontal="center" vertical="center" wrapText="1"/>
    </xf>
    <xf numFmtId="164" fontId="4" fillId="3" borderId="1" applyAlignment="1" pivotButton="0" quotePrefix="0" xfId="0">
      <alignment horizontal="center" vertical="center" wrapText="1"/>
    </xf>
    <xf numFmtId="164" fontId="4" fillId="6" borderId="1" applyAlignment="1" pivotButton="0" quotePrefix="0" xfId="0">
      <alignment horizontal="center" vertical="center" wrapText="1"/>
    </xf>
    <xf numFmtId="166" fontId="1" fillId="2" borderId="1" applyAlignment="1" applyProtection="1" pivotButton="0" quotePrefix="0" xfId="0">
      <alignment horizontal="center" vertical="center" wrapText="1"/>
      <protection locked="0" hidden="0"/>
    </xf>
    <xf numFmtId="165" fontId="8" fillId="6" borderId="1" applyAlignment="1" pivotButton="0" quotePrefix="0" xfId="0">
      <alignment horizontal="center" vertical="center" wrapText="1"/>
    </xf>
    <xf numFmtId="0" fontId="13" fillId="4" borderId="0" applyAlignment="1" pivotButton="0" quotePrefix="0" xfId="0">
      <alignment horizontal="left" vertical="center" wrapText="1"/>
    </xf>
    <xf numFmtId="0" fontId="20" fillId="6" borderId="0" applyAlignment="1" pivotButton="0" quotePrefix="0" xfId="0">
      <alignment horizontal="center" vertical="center" wrapText="1"/>
    </xf>
    <xf numFmtId="0" fontId="14" fillId="3" borderId="9" applyAlignment="1" pivotButton="0" quotePrefix="0" xfId="0">
      <alignment horizontal="left" vertical="center" wrapText="1"/>
    </xf>
    <xf numFmtId="165" fontId="1" fillId="3" borderId="9" applyAlignment="1" pivotButton="0" quotePrefix="0" xfId="0">
      <alignment horizontal="center" vertical="center" wrapText="1"/>
    </xf>
    <xf numFmtId="165" fontId="11" fillId="6" borderId="9" applyAlignment="1" pivotButton="0" quotePrefix="0" xfId="0">
      <alignment horizontal="center" vertical="center" wrapText="1"/>
    </xf>
    <xf numFmtId="0" fontId="15" fillId="4" borderId="0" applyAlignment="1" pivotButton="0" quotePrefix="0" xfId="0">
      <alignment horizontal="left" vertical="center" wrapText="1"/>
    </xf>
    <xf numFmtId="0" fontId="15" fillId="6" borderId="0" applyAlignment="1" pivotButton="0" quotePrefix="0" xfId="0">
      <alignment horizontal="center" vertical="center" wrapText="1"/>
    </xf>
    <xf numFmtId="164" fontId="15" fillId="6" borderId="0" applyAlignment="1" pivotButton="0" quotePrefix="0" xfId="0">
      <alignment horizontal="center" vertical="center" wrapText="1"/>
    </xf>
    <xf numFmtId="0" fontId="14" fillId="7" borderId="9" applyAlignment="1" pivotButton="0" quotePrefix="0" xfId="0">
      <alignment horizontal="left" vertical="center" wrapText="1"/>
    </xf>
    <xf numFmtId="165" fontId="1" fillId="7" borderId="9" applyAlignment="1" pivotButton="0" quotePrefix="0" xfId="0">
      <alignment horizontal="center" vertical="center" wrapText="1"/>
    </xf>
    <xf numFmtId="164" fontId="1" fillId="3" borderId="9" applyAlignment="1" pivotButton="0" quotePrefix="0" xfId="0">
      <alignment horizontal="center" vertical="center" wrapText="1"/>
    </xf>
    <xf numFmtId="164" fontId="11" fillId="6" borderId="9" applyAlignment="1" pivotButton="0" quotePrefix="0" xfId="0">
      <alignment horizontal="center" vertical="center" wrapText="1"/>
    </xf>
    <xf numFmtId="0" fontId="16" fillId="7" borderId="9" applyAlignment="1" pivotButton="0" quotePrefix="0" xfId="0">
      <alignment horizontal="left" vertical="center" wrapText="1"/>
    </xf>
    <xf numFmtId="165" fontId="4" fillId="7" borderId="9" applyAlignment="1" pivotButton="0" quotePrefix="0" xfId="0">
      <alignment horizontal="center" vertical="center" wrapText="1"/>
    </xf>
    <xf numFmtId="0" fontId="16" fillId="3" borderId="9" applyAlignment="1" pivotButton="0" quotePrefix="0" xfId="0">
      <alignment horizontal="left" vertical="center" wrapText="1"/>
    </xf>
    <xf numFmtId="164" fontId="4" fillId="3" borderId="9" applyAlignment="1" pivotButton="0" quotePrefix="0" xfId="0">
      <alignment horizontal="center" vertical="center" wrapText="1"/>
    </xf>
    <xf numFmtId="164" fontId="1" fillId="7" borderId="9" applyAlignment="1" pivotButton="0" quotePrefix="0" xfId="0">
      <alignment horizontal="center" vertical="center" wrapText="1"/>
    </xf>
    <xf numFmtId="0" fontId="17" fillId="4" borderId="0" applyAlignment="1" pivotButton="0" quotePrefix="0" xfId="0">
      <alignment horizontal="left" vertical="center" wrapText="1"/>
    </xf>
    <xf numFmtId="0" fontId="18" fillId="3" borderId="1" applyAlignment="1" pivotButton="0" quotePrefix="0" xfId="0">
      <alignment horizontal="center" vertical="center" wrapText="1"/>
    </xf>
    <xf numFmtId="0" fontId="19" fillId="6" borderId="1" applyAlignment="1" pivotButton="0" quotePrefix="0" xfId="0">
      <alignment horizontal="center" vertical="center" wrapText="1"/>
    </xf>
    <xf numFmtId="0" fontId="15" fillId="4" borderId="0" applyAlignment="1" pivotButton="0" quotePrefix="0" xfId="0">
      <alignment horizontal="left" vertical="top" wrapText="1"/>
    </xf>
    <xf numFmtId="0" fontId="4" fillId="4" borderId="8" applyAlignment="1" pivotButton="0" quotePrefix="0" xfId="0">
      <alignment horizontal="left" vertical="center"/>
    </xf>
    <xf numFmtId="165" fontId="15" fillId="6" borderId="0" applyAlignment="1" pivotButton="0" quotePrefix="0" xfId="0">
      <alignment horizontal="center" vertical="center" wrapText="1"/>
    </xf>
    <xf numFmtId="165" fontId="11" fillId="7" borderId="9" applyAlignment="1" pivotButton="0" quotePrefix="0" xfId="0">
      <alignment horizontal="center" vertical="center" wrapText="1"/>
    </xf>
    <xf numFmtId="164" fontId="11" fillId="3" borderId="9" applyAlignment="1" pivotButton="0" quotePrefix="0" xfId="0">
      <alignment horizontal="center" vertical="center" wrapText="1"/>
    </xf>
    <xf numFmtId="0" fontId="11" fillId="7" borderId="9" applyAlignment="1" pivotButton="0" quotePrefix="0" xfId="0">
      <alignment horizontal="center" vertical="center" wrapText="1"/>
    </xf>
    <xf numFmtId="0" fontId="11" fillId="6" borderId="9" applyAlignment="1" pivotButton="0" quotePrefix="0" xfId="0">
      <alignment horizontal="center" vertical="center" wrapText="1"/>
    </xf>
    <xf numFmtId="165" fontId="11" fillId="3" borderId="9" applyAlignment="1" pivotButton="0" quotePrefix="0" xfId="0">
      <alignment horizontal="center" vertical="center" wrapText="1"/>
    </xf>
    <xf numFmtId="0" fontId="14" fillId="4" borderId="0" applyAlignment="1" pivotButton="0" quotePrefix="0" xfId="0">
      <alignment horizontal="left" vertical="top" wrapText="1"/>
    </xf>
    <xf numFmtId="165" fontId="4" fillId="3" borderId="9" applyAlignment="1" pivotButton="0" quotePrefix="0" xfId="0">
      <alignment horizontal="center" vertical="center" wrapText="1"/>
    </xf>
    <xf numFmtId="0" fontId="21" fillId="5" borderId="0" applyAlignment="1" pivotButton="0" quotePrefix="0" xfId="0">
      <alignment horizontal="center" vertical="center" wrapText="1"/>
    </xf>
    <xf numFmtId="0" fontId="8" fillId="3" borderId="9" applyAlignment="1" pivotButton="0" quotePrefix="0" xfId="0">
      <alignment horizontal="center" vertical="center" wrapText="1"/>
    </xf>
    <xf numFmtId="167" fontId="1" fillId="2" borderId="1" applyAlignment="1" applyProtection="1" pivotButton="0" quotePrefix="0" xfId="0">
      <alignment horizontal="center" vertical="center" wrapText="1"/>
      <protection locked="0" hidden="0"/>
    </xf>
    <xf numFmtId="167" fontId="1" fillId="3" borderId="9" applyAlignment="1" pivotButton="0" quotePrefix="0" xfId="0">
      <alignment horizontal="center" vertical="center" wrapText="1"/>
    </xf>
    <xf numFmtId="0" fontId="11" fillId="3" borderId="9" applyAlignment="1" pivotButton="0" quotePrefix="0" xfId="0">
      <alignment horizontal="center" vertical="center" wrapText="1"/>
    </xf>
    <xf numFmtId="0" fontId="2" fillId="5" borderId="0" applyAlignment="1" pivotButton="0" quotePrefix="0" xfId="0">
      <alignment horizontal="left" vertical="center" wrapText="1"/>
    </xf>
    <xf numFmtId="167" fontId="2" fillId="5" borderId="0" applyAlignment="1" pivotButton="0" quotePrefix="0" xfId="0">
      <alignment horizontal="center" vertical="center" wrapText="1"/>
    </xf>
    <xf numFmtId="3" fontId="2" fillId="5" borderId="0" applyAlignment="1" pivotButton="0" quotePrefix="0" xfId="0">
      <alignment horizontal="center" vertical="center" wrapText="1"/>
    </xf>
    <xf numFmtId="164" fontId="2" fillId="5" borderId="0" applyAlignment="1" pivotButton="0" quotePrefix="0" xfId="0">
      <alignment horizontal="center" vertical="center" wrapText="1"/>
    </xf>
    <xf numFmtId="165" fontId="2" fillId="5" borderId="0" applyAlignment="1" pivotButton="0" quotePrefix="0" xfId="0">
      <alignment horizontal="center" vertical="center" wrapText="1"/>
    </xf>
    <xf numFmtId="0" fontId="21" fillId="5" borderId="0" applyAlignment="1" pivotButton="0" quotePrefix="0" xfId="0">
      <alignment horizontal="left" vertical="center" wrapText="1"/>
    </xf>
    <xf numFmtId="0" fontId="22" fillId="5" borderId="0" applyAlignment="1" pivotButton="0" quotePrefix="0" xfId="0">
      <alignment horizontal="left" vertical="center" wrapText="1"/>
    </xf>
    <xf numFmtId="0" fontId="11" fillId="3" borderId="9" applyAlignment="1" pivotButton="0" quotePrefix="0" xfId="0">
      <alignment horizontal="left" vertical="center" wrapText="1"/>
    </xf>
    <xf numFmtId="3" fontId="23" fillId="3" borderId="9" applyAlignment="1" pivotButton="0" quotePrefix="0" xfId="0">
      <alignment horizontal="center" vertical="center" wrapText="1"/>
    </xf>
    <xf numFmtId="0" fontId="17" fillId="3" borderId="1" applyAlignment="1" pivotButton="0" quotePrefix="0" xfId="0">
      <alignment horizontal="left" vertical="center" wrapText="1"/>
    </xf>
    <xf numFmtId="165" fontId="24" fillId="6" borderId="1" applyAlignment="1" pivotButton="0" quotePrefix="0" xfId="0">
      <alignment horizontal="center" vertical="center" wrapText="1"/>
    </xf>
    <xf numFmtId="166" fontId="14" fillId="3" borderId="9" applyAlignment="1" pivotButton="0" quotePrefix="0" xfId="0">
      <alignment horizontal="center" vertical="center" wrapText="1"/>
    </xf>
    <xf numFmtId="0" fontId="16" fillId="3" borderId="9" applyAlignment="1" pivotButton="0" quotePrefix="0" xfId="0">
      <alignment horizontal="center" vertical="center" wrapText="1"/>
    </xf>
    <xf numFmtId="0" fontId="8" fillId="7" borderId="9" applyAlignment="1" pivotButton="0" quotePrefix="0" xfId="0">
      <alignment horizontal="center" vertical="center" wrapText="1"/>
    </xf>
    <xf numFmtId="166" fontId="14" fillId="7" borderId="9" applyAlignment="1" pivotButton="0" quotePrefix="0" xfId="0">
      <alignment horizontal="center" vertical="center" wrapText="1"/>
    </xf>
    <xf numFmtId="0" fontId="16" fillId="7" borderId="9" applyAlignment="1" pivotButton="0" quotePrefix="0" xfId="0">
      <alignment horizontal="center" vertical="center" wrapText="1"/>
    </xf>
    <xf numFmtId="0" fontId="25" fillId="4" borderId="0" applyAlignment="1" pivotButton="0" quotePrefix="0" xfId="0">
      <alignment horizontal="left" vertical="center" wrapText="1"/>
    </xf>
    <xf numFmtId="0" fontId="26" fillId="5" borderId="0" applyAlignment="1" pivotButton="0" quotePrefix="0" xfId="0">
      <alignment horizontal="center" vertical="center" wrapText="1"/>
    </xf>
    <xf numFmtId="0" fontId="22" fillId="5" borderId="0" applyAlignment="1" pivotButton="0" quotePrefix="0" xfId="0">
      <alignment horizontal="center" vertical="center" wrapText="1"/>
    </xf>
    <xf numFmtId="164" fontId="27" fillId="3" borderId="9" applyAlignment="1" pivotButton="0" quotePrefix="0" xfId="0">
      <alignment horizontal="center" vertical="center" wrapText="1"/>
    </xf>
    <xf numFmtId="164" fontId="14" fillId="7" borderId="9" applyAlignment="1" pivotButton="0" quotePrefix="0" xfId="0">
      <alignment horizontal="center" vertical="center" wrapText="1"/>
    </xf>
    <xf numFmtId="164" fontId="14" fillId="3" borderId="9" applyAlignment="1" pivotButton="0" quotePrefix="0" xfId="0">
      <alignment horizontal="center" vertical="center" wrapText="1"/>
    </xf>
    <xf numFmtId="0" fontId="2" fillId="5" borderId="9" applyAlignment="1" pivotButton="0" quotePrefix="0" xfId="0">
      <alignment horizontal="left" vertical="center" wrapText="1"/>
    </xf>
    <xf numFmtId="165" fontId="28" fillId="5" borderId="9" applyAlignment="1" pivotButton="0" quotePrefix="0" xfId="0">
      <alignment horizontal="center" vertical="center" wrapText="1"/>
    </xf>
    <xf numFmtId="164" fontId="29" fillId="5" borderId="9" applyAlignment="1" pivotButton="0" quotePrefix="0" xfId="0">
      <alignment horizontal="center" vertical="center" wrapText="1"/>
    </xf>
    <xf numFmtId="0" fontId="14" fillId="3" borderId="9" applyAlignment="1" pivotButton="0" quotePrefix="0" xfId="0">
      <alignment horizontal="center" vertical="center" wrapText="1"/>
    </xf>
    <xf numFmtId="165" fontId="4" fillId="6" borderId="9" applyAlignment="1" pivotButton="0" quotePrefix="0" xfId="0">
      <alignment horizontal="center" vertical="center" wrapText="1"/>
    </xf>
    <xf numFmtId="164" fontId="9" fillId="6" borderId="9" applyAlignment="1" pivotButton="0" quotePrefix="0" xfId="0">
      <alignment horizontal="center" vertical="center" wrapText="1"/>
    </xf>
    <xf numFmtId="0" fontId="14" fillId="7" borderId="9" applyAlignment="1" pivotButton="0" quotePrefix="0" xfId="0">
      <alignment horizontal="center" vertical="center" wrapText="1"/>
    </xf>
    <xf numFmtId="0" fontId="14" fillId="6" borderId="9" applyAlignment="1" pivotButton="0" quotePrefix="0" xfId="0">
      <alignment horizontal="center" vertical="center" wrapText="1"/>
    </xf>
    <xf numFmtId="0" fontId="30" fillId="4" borderId="0" applyAlignment="1" pivotButton="0" quotePrefix="0" xfId="0">
      <alignment horizontal="left" vertical="center" wrapText="1"/>
    </xf>
    <xf numFmtId="0" fontId="17" fillId="7" borderId="9" applyAlignment="1" pivotButton="0" quotePrefix="0" xfId="0">
      <alignment horizontal="left" vertical="center" wrapText="1"/>
    </xf>
    <xf numFmtId="0" fontId="17" fillId="7" borderId="9" applyAlignment="1" pivotButton="0" quotePrefix="0" xfId="0">
      <alignment horizontal="center" vertical="center" wrapText="1"/>
    </xf>
    <xf numFmtId="0" fontId="14" fillId="3" borderId="1" applyAlignment="1" pivotButton="0" quotePrefix="0" xfId="0">
      <alignment horizontal="left" vertical="top" wrapText="1"/>
    </xf>
    <xf numFmtId="0" fontId="0" fillId="3" borderId="1" pivotButton="0" quotePrefix="0" xfId="0"/>
    <xf numFmtId="0" fontId="4" fillId="2" borderId="1" applyAlignment="1" applyProtection="1" pivotButton="0" quotePrefix="0" xfId="0">
      <alignment horizontal="center" vertical="center" wrapText="1"/>
      <protection locked="0" hidden="0"/>
    </xf>
    <xf numFmtId="0" fontId="1" fillId="2" borderId="1" applyAlignment="1" applyProtection="1" pivotButton="0" quotePrefix="0" xfId="0">
      <alignment horizontal="left" vertical="center" wrapText="1"/>
      <protection locked="0" hidden="0"/>
    </xf>
  </cellXfs>
  <cellStyles count="4">
    <cellStyle name="Normal" xfId="0" builtinId="0" hidden="0"/>
    <cellStyle name="FW Input" xfId="1" hidden="0"/>
    <cellStyle name="FW Money" xfId="2" hidden="0"/>
    <cellStyle name="FW Percent" xfId="3" hidden="0"/>
  </cellStyles>
  <dxfs count="6">
    <dxf>
      <font>
        <name val="Calibri"/>
        <b val="1"/>
        <color rgb="00B33A1A"/>
        <sz val="11"/>
      </font>
    </dxf>
    <dxf>
      <font>
        <name val="Calibri"/>
        <b val="1"/>
        <color rgb="00B33A1A"/>
        <sz val="11"/>
      </font>
      <fill>
        <patternFill patternType="solid">
          <fgColor rgb="00F4E4DE"/>
        </patternFill>
      </fill>
    </dxf>
    <dxf>
      <font>
        <name val="Calibri"/>
        <b val="1"/>
        <color rgb="001B1B1B"/>
        <sz val="11"/>
      </font>
      <fill>
        <patternFill patternType="solid">
          <fgColor rgb="00F3EDE3"/>
        </patternFill>
      </fill>
    </dxf>
    <dxf>
      <font>
        <name val="Calibri"/>
        <b val="1"/>
        <color rgb="006F6A63"/>
        <sz val="11"/>
      </font>
      <fill>
        <patternFill patternType="solid">
          <fgColor rgb="00EFE8DC"/>
        </patternFill>
      </fill>
    </dxf>
    <dxf>
      <font>
        <name val="Calibri"/>
        <b val="1"/>
        <color rgb="00FFFFFF"/>
        <sz val="10"/>
      </font>
      <fill>
        <patternFill patternType="solid">
          <fgColor rgb="00B33A1A"/>
        </patternFill>
      </fill>
    </dxf>
    <dxf>
      <font>
        <name val="Calibri"/>
        <b val="1"/>
        <color rgb="00B33A1A"/>
        <sz val="10"/>
      </font>
      <fill>
        <patternFill patternType="solid">
          <fgColor rgb="00F4E4D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charts/chart1.xml><?xml version="1.0" encoding="utf-8"?>
<chartSpace xmlns:a="http://schemas.openxmlformats.org/drawingml/2006/main" xmlns="http://schemas.openxmlformats.org/drawingml/2006/chart">
  <chart>
    <title>
      <tx>
        <rich>
          <a:bodyPr/>
          <a:p>
            <a:pPr>
              <a:defRPr/>
            </a:pPr>
            <a:r>
              <a:t>Prime cost stack  ·  food + bev + labor</a:t>
            </a:r>
          </a:p>
        </rich>
      </tx>
    </title>
    <plotArea>
      <barChart>
        <barDir val="col"/>
        <grouping val="stacked"/>
        <ser>
          <idx val="0"/>
          <order val="0"/>
          <tx>
            <strRef>
              <f>'Prime Cost'!J6</f>
            </strRef>
          </tx>
          <spPr>
            <a:solidFill>
              <a:srgbClr val="1B1B1B"/>
            </a:solidFill>
            <a:ln>
              <a:solidFill>
                <a:srgbClr val="1B1B1B"/>
              </a:solidFill>
              <a:prstDash val="solid"/>
            </a:ln>
          </spPr>
          <cat>
            <numRef>
              <f>'Prime Cost'!$I$7:$I$9</f>
            </numRef>
          </cat>
          <val>
            <numRef>
              <f>'Prime Cost'!$J$7:$J$9</f>
            </numRef>
          </val>
        </ser>
        <ser>
          <idx val="1"/>
          <order val="1"/>
          <tx>
            <strRef>
              <f>'Prime Cost'!K6</f>
            </strRef>
          </tx>
          <spPr>
            <a:solidFill>
              <a:srgbClr val="6F6A63"/>
            </a:solidFill>
            <a:ln>
              <a:solidFill>
                <a:srgbClr val="6F6A63"/>
              </a:solidFill>
              <a:prstDash val="solid"/>
            </a:ln>
          </spPr>
          <cat>
            <numRef>
              <f>'Prime Cost'!$I$7:$I$9</f>
            </numRef>
          </cat>
          <val>
            <numRef>
              <f>'Prime Cost'!$K$7:$K$9</f>
            </numRef>
          </val>
        </ser>
        <ser>
          <idx val="2"/>
          <order val="2"/>
          <tx>
            <strRef>
              <f>'Prime Cost'!L6</f>
            </strRef>
          </tx>
          <spPr>
            <a:solidFill>
              <a:srgbClr val="B33A1A"/>
            </a:solidFill>
            <a:ln>
              <a:solidFill>
                <a:srgbClr val="B33A1A"/>
              </a:solidFill>
              <a:prstDash val="solid"/>
            </a:ln>
          </spPr>
          <cat>
            <numRef>
              <f>'Prime Cost'!$I$7:$I$9</f>
            </numRef>
          </cat>
          <val>
            <numRef>
              <f>'Prime Cost'!$L$7:$L$9</f>
            </numRef>
          </val>
        </ser>
        <gapWidth val="150"/>
        <overlap val="100"/>
        <axId val="10"/>
        <axId val="100"/>
      </barChart>
      <catAx>
        <axId val="10"/>
        <scaling>
          <orientation val="minMax"/>
        </scaling>
        <axPos val="l"/>
        <majorTickMark val="none"/>
        <minorTickMark val="none"/>
        <crossAx val="100"/>
        <lblOffset val="100"/>
      </catAx>
      <valAx>
        <axId val="100"/>
        <scaling>
          <orientation val="minMax"/>
          <max val="0.9"/>
          <min val="0"/>
        </scaling>
        <axPos val="l"/>
        <numFmt formatCode="0%" sourceLinked="0"/>
        <majorTickMark val="none"/>
        <minorTickMark val="none"/>
        <crossAx val="10"/>
      </valAx>
    </plotArea>
    <legend>
      <legendPos val="b"/>
    </legend>
    <plotVisOnly val="1"/>
    <dispBlanksAs val="gap"/>
  </chart>
</chartSpace>
</file>

<file path=xl/charts/chart2.xml><?xml version="1.0" encoding="utf-8"?>
<chartSpace xmlns:a="http://schemas.openxmlformats.org/drawingml/2006/main" xmlns="http://schemas.openxmlformats.org/drawingml/2006/chart">
  <chart>
    <title>
      <tx>
        <rich>
          <a:bodyPr/>
          <a:p>
            <a:pPr>
              <a:defRPr/>
            </a:pPr>
            <a:r>
              <a:t>Four-wall $ by location</a:t>
            </a:r>
          </a:p>
        </rich>
      </tx>
    </title>
    <plotArea>
      <barChart>
        <barDir val="col"/>
        <grouping val="clustered"/>
        <ser>
          <idx val="0"/>
          <order val="0"/>
          <tx>
            <strRef>
              <f>'Four-Wall'!J6</f>
            </strRef>
          </tx>
          <spPr>
            <a:solidFill>
              <a:srgbClr val="B33A1A"/>
            </a:solidFill>
            <a:ln>
              <a:solidFill>
                <a:srgbClr val="B33A1A"/>
              </a:solidFill>
              <a:prstDash val="solid"/>
            </a:ln>
          </spPr>
          <cat>
            <numRef>
              <f>'Four-Wall'!$I$7:$I$9</f>
            </numRef>
          </cat>
          <val>
            <numRef>
              <f>'Four-Wall'!$J$7:$J$9</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numFmt formatCode="&quot;$&quot;#,##0" sourceLinked="0"/>
        <majorTickMark val="none"/>
        <minorTickMark val="none"/>
        <crossAx val="10"/>
      </valAx>
    </plotArea>
    <plotVisOnly val="1"/>
    <dispBlanksAs val="gap"/>
  </chart>
</chartSpace>
</file>

<file path=xl/comments/comment1.xml><?xml version="1.0" encoding="utf-8"?>
<comments xmlns="http://schemas.openxmlformats.org/spreadsheetml/2006/main">
  <authors>
    <author>FourWall</author>
  </authors>
  <commentList>
    <comment ref="C8" authorId="0" shapeId="0">
      <text>
        <t>4 is a normal restaurant period. Use 4.33 for a calendar month.</t>
      </text>
    </comment>
    <comment ref="C9" authorId="0" shapeId="0">
      <text>
        <t>Default 60%. Many independent full-service rooms run prime in the mid-50s to mid-60s. QSR is often lower food, higher labor. Your target, not a census.</t>
      </text>
    </comment>
    <comment ref="C12" authorId="0" shapeId="0">
      <text>
        <t>No = occupancy hits cash only in weeks you type. Yes = split this period occupancy evenly. Type 0 to force a zero.</t>
      </text>
    </comment>
  </commentList>
</comments>
</file>

<file path=xl/drawings/_rels/drawing1.xml.rels><Relationships xmlns="http://schemas.openxmlformats.org/package/2006/relationships"><Relationship Type="http://schemas.openxmlformats.org/officeDocument/2006/relationships/chart" Target="/xl/charts/chart1.xml" Id="rId1" /></Relationships>
</file>

<file path=xl/drawings/_rels/drawing2.xml.rels><Relationships xmlns="http://schemas.openxmlformats.org/package/2006/relationships"><Relationship Type="http://schemas.openxmlformats.org/officeDocument/2006/relationships/chart" Target="/xl/charts/chart2.xml" Id="rId1"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1</col>
      <colOff>0</colOff>
      <row>22</row>
      <rowOff>0</rowOff>
    </from>
    <ext cx="5400000" cy="2880000"/>
    <graphicFrame>
      <nvGraphicFramePr>
        <cNvPr id="1" name="Chart 1"/>
        <cNvGraphicFramePr/>
      </nvGraphicFramePr>
      <xfrm/>
      <a:graphic>
        <a:graphicData uri="http://schemas.openxmlformats.org/drawingml/2006/chart">
          <c:chart r:id="rId1"/>
        </a:graphicData>
      </a:graphic>
    </graphicFrame>
    <clientData/>
  </oneCellAnchor>
</wsDr>
</file>

<file path=xl/drawings/drawing2.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1</col>
      <colOff>0</colOff>
      <row>22</row>
      <rowOff>0</rowOff>
    </from>
    <ext cx="5400000" cy="2520000"/>
    <graphicFrame>
      <nvGraphicFramePr>
        <cNvPr id="1" name="Chart 1"/>
        <cNvGraphicFramePr/>
      </nvGraphicFramePr>
      <xfrm/>
      <a:graphic>
        <a:graphicData uri="http://schemas.openxmlformats.org/drawingml/2006/chart">
          <c:chart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Inputs'!A1" TargetMode="External" Id="rId1" /><Relationship Type="http://schemas.openxmlformats.org/officeDocument/2006/relationships/hyperlink" Target="#'Prime Cost'!A1" TargetMode="External" Id="rId2" /><Relationship Type="http://schemas.openxmlformats.org/officeDocument/2006/relationships/hyperlink" Target="#'Four-Wall'!A1" TargetMode="External" Id="rId3" /><Relationship Type="http://schemas.openxmlformats.org/officeDocument/2006/relationships/hyperlink" Target="#'Menu Mix'!A1" TargetMode="External" Id="rId4" /><Relationship Type="http://schemas.openxmlformats.org/officeDocument/2006/relationships/hyperlink" Target="#'8-Week Cash'!A1" TargetMode="External" Id="rId5" /><Relationship Type="http://schemas.openxmlformats.org/officeDocument/2006/relationships/hyperlink" Target="#'Flash P&amp;L'!A1" TargetMode="External" Id="rId6" /></Relationships>
</file>

<file path=xl/worksheets/_rels/sheet2.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_rels/sheet3.xml.rels><Relationships xmlns="http://schemas.openxmlformats.org/package/2006/relationships"><Relationship Type="http://schemas.openxmlformats.org/officeDocument/2006/relationships/drawing" Target="/xl/drawings/drawing1.xml" Id="rId1" /></Relationships>
</file>

<file path=xl/worksheets/_rels/sheet4.xml.rels><Relationships xmlns="http://schemas.openxmlformats.org/package/2006/relationships"><Relationship Type="http://schemas.openxmlformats.org/officeDocument/2006/relationships/drawing" Target="/xl/drawings/drawing2.xml" Id="rId1" /></Relationships>
</file>

<file path=xl/worksheets/sheet1.xml><?xml version="1.0" encoding="utf-8"?>
<worksheet xmlns="http://schemas.openxmlformats.org/spreadsheetml/2006/main">
  <sheetPr>
    <tabColor rgb="001B1B1B"/>
    <outlinePr summaryBelow="1" summaryRight="1"/>
    <pageSetUpPr fitToPage="1"/>
  </sheetPr>
  <dimension ref="A1:G38"/>
  <sheetViews>
    <sheetView showGridLines="0" zoomScale="110" workbookViewId="0">
      <selection activeCell="A1" sqref="A1"/>
    </sheetView>
  </sheetViews>
  <sheetFormatPr baseColWidth="8" defaultRowHeight="15"/>
  <cols>
    <col width="3.2" customWidth="1" min="1" max="1"/>
    <col width="18" customWidth="1" min="2" max="2"/>
    <col width="16" customWidth="1" min="3" max="3"/>
    <col width="16" customWidth="1" min="4" max="4"/>
    <col width="16" customWidth="1" min="5" max="5"/>
    <col width="16" customWidth="1" min="6" max="6"/>
    <col width="3.2" customWidth="1" min="7" max="7"/>
  </cols>
  <sheetData>
    <row r="1" ht="22" customHeight="1">
      <c r="A1" s="1" t="inlineStr"/>
      <c r="B1" s="2" t="inlineStr">
        <is>
          <t>FOURWALL  ·  MARGIN KIT</t>
        </is>
      </c>
      <c r="E1" s="1" t="inlineStr"/>
      <c r="F1" s="1" t="inlineStr"/>
      <c r="G1" s="3" t="inlineStr">
        <is>
          <t>COVER</t>
        </is>
      </c>
    </row>
    <row r="2" ht="18" customHeight="1">
      <c r="A2" s="4" t="n"/>
      <c r="B2" s="4" t="n"/>
      <c r="C2" s="4" t="n"/>
      <c r="D2" s="4" t="n"/>
      <c r="E2" s="4" t="n"/>
      <c r="F2" s="4" t="n"/>
      <c r="G2" s="4" t="n"/>
    </row>
    <row r="3" ht="18" customHeight="1">
      <c r="A3" s="4" t="n"/>
      <c r="B3" s="5" t="inlineStr">
        <is>
          <t>OPERATOR WORKBOOK</t>
        </is>
      </c>
      <c r="G3" s="4" t="n"/>
    </row>
    <row r="4" ht="42" customHeight="1">
      <c r="A4" s="4" t="n"/>
      <c r="B4" s="6" t="inlineStr">
        <is>
          <t>Margin Kit</t>
        </is>
      </c>
      <c r="G4" s="4" t="n"/>
    </row>
    <row r="5" ht="20" customHeight="1">
      <c r="A5" s="4" t="n"/>
      <c r="B5" s="7" t="inlineStr">
        <is>
          <t>Prime cost · four walls · menu mix · eight weeks of cash · one-page flash</t>
        </is>
      </c>
      <c r="G5" s="4" t="n"/>
    </row>
    <row r="6" ht="18" customHeight="1">
      <c r="A6" s="4" t="n"/>
      <c r="B6" s="4" t="n"/>
      <c r="C6" s="4" t="n"/>
      <c r="D6" s="4" t="n"/>
      <c r="E6" s="4" t="n"/>
      <c r="F6" s="4" t="n"/>
      <c r="G6" s="4" t="n"/>
    </row>
    <row r="7" ht="36" customHeight="1">
      <c r="A7" s="4" t="n"/>
      <c r="B7" s="8" t="inlineStr">
        <is>
          <t>For restaurant and multi-unit retail operators who can feel a busy month and still not find the profit. Not for accountants. Not a tax workbook. Not QuickBooks.</t>
        </is>
      </c>
      <c r="G7" s="4" t="n"/>
    </row>
    <row r="8" ht="18" customHeight="1">
      <c r="A8" s="4" t="n"/>
      <c r="B8" s="4" t="n"/>
      <c r="C8" s="4" t="n"/>
      <c r="D8" s="4" t="n"/>
      <c r="E8" s="4" t="n"/>
      <c r="F8" s="4" t="n"/>
      <c r="G8" s="4" t="n"/>
    </row>
    <row r="9" ht="20" customHeight="1">
      <c r="A9" s="4" t="n"/>
      <c r="B9" s="36" t="inlineStr">
        <is>
          <t>WHAT THIS KIT DOES</t>
        </is>
      </c>
      <c r="C9" s="15" t="n"/>
      <c r="D9" s="15" t="n"/>
      <c r="E9" s="15" t="n"/>
      <c r="F9" s="15" t="n"/>
      <c r="G9" s="4" t="n"/>
    </row>
    <row r="10" ht="32" customHeight="1">
      <c r="A10" s="4" t="n"/>
      <c r="B10" s="11" t="inlineStr">
        <is>
          <t>1.  Turns last month's POS, invoices, and in-house payroll into prime cost by location — food, beverage, and labor against sales.</t>
        </is>
      </c>
      <c r="G10" s="4" t="n"/>
    </row>
    <row r="11" ht="32" customHeight="1">
      <c r="A11" s="4" t="n"/>
      <c r="B11" s="11" t="inlineStr">
        <is>
          <t>2.  Shows four-wall contribution after occupancy, in dollars, so you can see which room is carrying the group and which is dragging it.</t>
        </is>
      </c>
      <c r="G11" s="4" t="n"/>
    </row>
    <row r="12" ht="32" customHeight="1">
      <c r="A12" s="4" t="n"/>
      <c r="B12" s="11" t="inlineStr">
        <is>
          <t>3.  Runs a 12-item menu mix (star / plowhorse / puzzle / dog) you overwrite with your own items. The sample is a tour, not your menu.</t>
        </is>
      </c>
      <c r="G12" s="4" t="n"/>
    </row>
    <row r="13" ht="32" customHeight="1">
      <c r="A13" s="4" t="n"/>
      <c r="B13" s="11" t="inlineStr">
        <is>
          <t>4.  Maps eight weeks of cash from a starting balance and flags any week that goes negative — the month can be fine and a week still bounce.</t>
        </is>
      </c>
      <c r="G13" s="4" t="n"/>
    </row>
    <row r="14" ht="32" customHeight="1">
      <c r="A14" s="4" t="n"/>
      <c r="B14" s="11" t="inlineStr">
        <is>
          <t>5.  Prints a one-page flash P&amp;L you can walk into a manager meeting with. Landscape, one sheet, no 40-line QuickBooks dump.</t>
        </is>
      </c>
      <c r="G14" s="4" t="n"/>
    </row>
    <row r="15" ht="18" customHeight="1">
      <c r="A15" s="4" t="n"/>
      <c r="B15" s="4" t="n"/>
      <c r="C15" s="4" t="n"/>
      <c r="D15" s="4" t="n"/>
      <c r="E15" s="4" t="n"/>
      <c r="F15" s="4" t="n"/>
      <c r="G15" s="4" t="n"/>
    </row>
    <row r="16" ht="20" customHeight="1">
      <c r="A16" s="4" t="n"/>
      <c r="B16" s="36" t="inlineStr">
        <is>
          <t>HOW TO USE IT</t>
        </is>
      </c>
      <c r="C16" s="15" t="n"/>
      <c r="D16" s="15" t="n"/>
      <c r="E16" s="15" t="n"/>
      <c r="F16" s="15" t="n"/>
      <c r="G16" s="4" t="n"/>
    </row>
    <row r="17" ht="30" customHeight="1">
      <c r="A17" s="4" t="n"/>
      <c r="B17" s="11" t="inlineStr">
        <is>
          <t>Open Inputs. Sand-colored cells are yours. White cells calculate. Paste last month from the POS and from payroll / QBO. Leave location 3 blank if you only run two.</t>
        </is>
      </c>
      <c r="G17" s="4" t="n"/>
    </row>
    <row r="18" ht="30" customHeight="1">
      <c r="A18" s="4" t="n"/>
      <c r="B18" s="11" t="inlineStr">
        <is>
          <t>Food cost is period cost if you have it (beginning inventory + purchases − ending). If you only have purchases, know that a fill week will inflate prime.</t>
        </is>
      </c>
      <c r="G18" s="4" t="n"/>
    </row>
    <row r="19" ht="30" customHeight="1">
      <c r="A19" s="4" t="n"/>
      <c r="B19" s="11" t="inlineStr">
        <is>
          <t>Set weeks in the period (4 is a normal restaurant period) and a prime-cost target (60% is the default — a target, not a law). Then read Prime Cost, Four-Wall, and Flash P&amp;L.</t>
        </is>
      </c>
      <c r="G19" s="4" t="n"/>
    </row>
    <row r="20" ht="30" customHeight="1">
      <c r="A20" s="4" t="n"/>
      <c r="B20" s="11" t="inlineStr">
        <is>
          <t>Replace the 12 sample dishes on Menu Mix. On 8-Week Cash, blank override cells follow this period's weekly run-rate; type a number to pin a week (rent checks, a slow week, a repair).</t>
        </is>
      </c>
      <c r="G20" s="4" t="n"/>
    </row>
    <row r="21" ht="18" customHeight="1">
      <c r="A21" s="4" t="n"/>
      <c r="B21" s="4" t="n"/>
      <c r="C21" s="4" t="n"/>
      <c r="D21" s="4" t="n"/>
      <c r="E21" s="4" t="n"/>
      <c r="F21" s="4" t="n"/>
      <c r="G21" s="4" t="n"/>
    </row>
    <row r="22" ht="20" customHeight="1">
      <c r="A22" s="4" t="n"/>
      <c r="B22" s="36" t="inlineStr">
        <is>
          <t>DISCLAIMER</t>
        </is>
      </c>
      <c r="C22" s="15" t="n"/>
      <c r="D22" s="15" t="n"/>
      <c r="E22" s="15" t="n"/>
      <c r="F22" s="15" t="n"/>
      <c r="G22" s="4" t="n"/>
    </row>
    <row r="23" ht="52" customHeight="1">
      <c r="A23" s="4" t="n"/>
      <c r="B23" s="12" t="inlineStr">
        <is>
          <t>This workbook is a decision tool for operators. It is not accounting software, not a general ledger, and not tax advice. It will not close your books, file anything, or replace a bookkeeper. It does not calculate sales tax, payroll tax, income tax, tips, or depreciation. If a number here disagrees with QuickBooks, fix the input — this kit only math-es what you paste. Use it to decide where to cut, raise, or leave alone this week. Do not use it as your official P&amp;L.</t>
        </is>
      </c>
      <c r="G23" s="4" t="n"/>
    </row>
    <row r="24" ht="18" customHeight="1">
      <c r="A24" s="4" t="n"/>
      <c r="B24" s="4" t="n"/>
      <c r="C24" s="4" t="n"/>
      <c r="D24" s="4" t="n"/>
      <c r="E24" s="4" t="n"/>
      <c r="F24" s="4" t="n"/>
      <c r="G24" s="4" t="n"/>
    </row>
    <row r="25" ht="20" customHeight="1">
      <c r="A25" s="4" t="n"/>
      <c r="B25" s="36" t="inlineStr">
        <is>
          <t>SHEETS</t>
        </is>
      </c>
      <c r="C25" s="15" t="n"/>
      <c r="D25" s="15" t="n"/>
      <c r="E25" s="15" t="n"/>
      <c r="F25" s="15" t="n"/>
      <c r="G25" s="4" t="n"/>
    </row>
    <row r="26" ht="20" customHeight="1">
      <c r="A26" s="4" t="n"/>
      <c r="B26" s="5" t="inlineStr">
        <is>
          <t>Inputs</t>
        </is>
      </c>
      <c r="C26" s="13" t="inlineStr">
        <is>
          <t>One place to type. Up to 3 locations, sales, food, beverage, labor, occupancy, cash overrides.</t>
        </is>
      </c>
      <c r="G26" s="4" t="n"/>
    </row>
    <row r="27" ht="20" customHeight="1">
      <c r="A27" s="4" t="n"/>
      <c r="B27" s="5" t="inlineStr">
        <is>
          <t>Prime Cost</t>
        </is>
      </c>
      <c r="C27" s="13" t="inlineStr">
        <is>
          <t>Food + beverage + in-house labor, over sales. Versus your target. Dollar leak.</t>
        </is>
      </c>
      <c r="G27" s="4" t="n"/>
    </row>
    <row r="28" ht="20" customHeight="1">
      <c r="A28" s="4" t="n"/>
      <c r="B28" s="5" t="inlineStr">
        <is>
          <t>Four-Wall</t>
        </is>
      </c>
      <c r="C28" s="13" t="inlineStr">
        <is>
          <t>Contribution after prime cost and occupancy. Who is carrying. Who is dragging. Dollarized.</t>
        </is>
      </c>
      <c r="G28" s="4" t="n"/>
    </row>
    <row r="29" ht="20" customHeight="1">
      <c r="A29" s="4" t="n"/>
      <c r="B29" s="5" t="inlineStr">
        <is>
          <t>Menu Mix</t>
        </is>
      </c>
      <c r="C29" s="13" t="inlineStr">
        <is>
          <t>12 items. Star / plowhorse / puzzle / dog from plate margin % vs weekly units.</t>
        </is>
      </c>
      <c r="G29" s="4" t="n"/>
    </row>
    <row r="30" ht="20" customHeight="1">
      <c r="A30" s="4" t="n"/>
      <c r="B30" s="5" t="inlineStr">
        <is>
          <t>8-Week Cash</t>
        </is>
      </c>
      <c r="C30" s="13" t="inlineStr">
        <is>
          <t>Starting cash, weekly in and out, ending cash. Flags a week that goes negative.</t>
        </is>
      </c>
      <c r="G30" s="4" t="n"/>
    </row>
    <row r="31" ht="20" customHeight="1">
      <c r="A31" s="4" t="n"/>
      <c r="B31" s="5" t="inlineStr">
        <is>
          <t>Flash P&amp;L</t>
        </is>
      </c>
      <c r="C31" s="13" t="inlineStr">
        <is>
          <t>One page. Print landscape. Bring it to the manager meeting.</t>
        </is>
      </c>
      <c r="G31" s="4" t="n"/>
    </row>
    <row r="32" ht="18" customHeight="1">
      <c r="A32" s="4" t="n"/>
      <c r="B32" s="4" t="n"/>
      <c r="C32" s="4" t="n"/>
      <c r="D32" s="4" t="n"/>
      <c r="E32" s="4" t="n"/>
      <c r="F32" s="4" t="n"/>
      <c r="G32" s="4" t="n"/>
    </row>
    <row r="33" ht="28" customHeight="1">
      <c r="A33" s="4" t="n"/>
      <c r="B33" s="14" t="inlineStr">
        <is>
          <t>Sand cells = type. White cells = formulas. Do not type over formulas. Example numbers are Harbor &amp; Pine Hospitality, two rooms, 4 weeks ended 23 Aug 2026 — overwrite them.</t>
        </is>
      </c>
      <c r="G33" s="4" t="n"/>
    </row>
    <row r="34" ht="18" customHeight="1">
      <c r="A34" s="4" t="n"/>
      <c r="B34" s="4" t="n"/>
      <c r="C34" s="4" t="n"/>
      <c r="D34" s="4" t="n"/>
      <c r="E34" s="4" t="n"/>
      <c r="F34" s="4" t="n"/>
      <c r="G34" s="4" t="n"/>
    </row>
    <row r="35" ht="18" customHeight="1">
      <c r="A35" s="4" t="n"/>
      <c r="B35" s="14" t="inlineStr">
        <is>
          <t>FourWall  ·  2026  ·  Operator kit  ·  $39</t>
        </is>
      </c>
      <c r="G35" s="4" t="n"/>
    </row>
    <row r="36" ht="18" customHeight="1">
      <c r="A36" s="4" t="n"/>
      <c r="B36" s="4" t="n"/>
      <c r="C36" s="4" t="n"/>
      <c r="D36" s="4" t="n"/>
      <c r="E36" s="4" t="n"/>
      <c r="F36" s="4" t="n"/>
      <c r="G36" s="4" t="n"/>
    </row>
    <row r="37" ht="18" customHeight="1">
      <c r="A37" s="4" t="n"/>
      <c r="B37" s="4" t="n"/>
      <c r="C37" s="4" t="n"/>
      <c r="D37" s="4" t="n"/>
      <c r="E37" s="4" t="n"/>
      <c r="F37" s="4" t="n"/>
      <c r="G37" s="4" t="n"/>
    </row>
    <row r="38" ht="18" customHeight="1">
      <c r="A38" s="4" t="n"/>
      <c r="B38" s="4" t="n"/>
      <c r="C38" s="4" t="n"/>
      <c r="D38" s="4" t="n"/>
      <c r="E38" s="4" t="n"/>
      <c r="F38" s="4" t="n"/>
      <c r="G38" s="4" t="n"/>
    </row>
  </sheetData>
  <mergeCells count="27">
    <mergeCell ref="B4:F4"/>
    <mergeCell ref="B7:F7"/>
    <mergeCell ref="B16:F16"/>
    <mergeCell ref="B1:D1"/>
    <mergeCell ref="B25:F25"/>
    <mergeCell ref="B3:F3"/>
    <mergeCell ref="B22:F22"/>
    <mergeCell ref="B18:F18"/>
    <mergeCell ref="C28:F28"/>
    <mergeCell ref="B12:F12"/>
    <mergeCell ref="B11:F11"/>
    <mergeCell ref="C30:F30"/>
    <mergeCell ref="B23:F23"/>
    <mergeCell ref="B14:F14"/>
    <mergeCell ref="B17:F17"/>
    <mergeCell ref="B13:F13"/>
    <mergeCell ref="B10:F10"/>
    <mergeCell ref="C26:F26"/>
    <mergeCell ref="B19:F19"/>
    <mergeCell ref="C29:F29"/>
    <mergeCell ref="B9:F9"/>
    <mergeCell ref="C31:F31"/>
    <mergeCell ref="B20:F20"/>
    <mergeCell ref="B33:F33"/>
    <mergeCell ref="B5:F5"/>
    <mergeCell ref="C27:F27"/>
    <mergeCell ref="B35:F35"/>
  </mergeCells>
  <hyperlinks>
    <hyperlink xmlns:r="http://schemas.openxmlformats.org/officeDocument/2006/relationships" ref="B26" r:id="rId1"/>
    <hyperlink xmlns:r="http://schemas.openxmlformats.org/officeDocument/2006/relationships" ref="B27" r:id="rId2"/>
    <hyperlink xmlns:r="http://schemas.openxmlformats.org/officeDocument/2006/relationships" ref="B28" r:id="rId3"/>
    <hyperlink xmlns:r="http://schemas.openxmlformats.org/officeDocument/2006/relationships" ref="B29" r:id="rId4"/>
    <hyperlink xmlns:r="http://schemas.openxmlformats.org/officeDocument/2006/relationships" ref="B30" r:id="rId5"/>
    <hyperlink xmlns:r="http://schemas.openxmlformats.org/officeDocument/2006/relationships" ref="B31" r:id="rId6"/>
  </hyperlinks>
  <printOptions horizontalCentered="1"/>
  <pageMargins left="0.5" right="0.5" top="0.7" bottom="0.55" header="0.28" footer="0.28"/>
  <pageSetup orientation="portrait" paperSize="1" fitToHeight="1" fitToWidth="1"/>
  <headerFooter>
    <oddHeader>&amp;L&amp;"Calibri"&amp;8 FOURWALL  ·  MARGIN KIT</oddHeader>
    <oddFooter>&amp;L&amp;"Calibri"&amp;8 Decision tool. Not accounting. Not tax.&amp;R&amp;"Calibri"&amp;8 Page &amp;P of &amp;N</oddFooter>
    <evenHeader/>
    <evenFooter/>
    <firstHeader/>
    <firstFooter/>
  </headerFooter>
</worksheet>
</file>

<file path=xl/worksheets/sheet2.xml><?xml version="1.0" encoding="utf-8"?>
<worksheet xmlns="http://schemas.openxmlformats.org/spreadsheetml/2006/main">
  <sheetPr>
    <tabColor rgb="00B33A1A"/>
    <outlinePr summaryBelow="1" summaryRight="1"/>
    <pageSetUpPr fitToPage="1"/>
  </sheetPr>
  <dimension ref="A1:H52"/>
  <sheetViews>
    <sheetView showGridLines="0" zoomScale="110" workbookViewId="0">
      <pane ySplit="5" topLeftCell="A6" activePane="bottomLeft" state="frozen"/>
      <selection pane="bottomLeft" activeCell="A1" sqref="A1"/>
    </sheetView>
  </sheetViews>
  <sheetFormatPr baseColWidth="8" defaultRowHeight="15"/>
  <cols>
    <col width="3" customWidth="1" min="1" max="1"/>
    <col width="32" customWidth="1" min="2" max="2"/>
    <col width="20" customWidth="1" min="3" max="3"/>
    <col width="20" customWidth="1" min="4" max="4"/>
    <col width="20" customWidth="1" min="5" max="5"/>
    <col width="14" customWidth="1" min="6" max="6"/>
    <col width="46" customWidth="1" min="7" max="7"/>
    <col width="3" customWidth="1" min="8" max="8"/>
  </cols>
  <sheetData>
    <row r="1" ht="22" customHeight="1">
      <c r="A1" s="1" t="inlineStr"/>
      <c r="B1" s="2" t="inlineStr">
        <is>
          <t>FOURWALL  ·  MARGIN KIT</t>
        </is>
      </c>
      <c r="E1" s="1" t="inlineStr"/>
      <c r="F1" s="1" t="inlineStr"/>
      <c r="G1" s="1" t="inlineStr"/>
      <c r="H1" s="3" t="inlineStr">
        <is>
          <t>INPUTS</t>
        </is>
      </c>
    </row>
    <row r="2" ht="22" customHeight="1">
      <c r="A2" s="4" t="n"/>
      <c r="B2" s="16" t="inlineStr">
        <is>
          <t>Inputs  —  one place to type</t>
        </is>
      </c>
      <c r="H2" s="4" t="n"/>
    </row>
    <row r="3" ht="28" customHeight="1">
      <c r="A3" s="4" t="n"/>
      <c r="B3" s="12" t="inlineStr">
        <is>
          <t>Sand cells are inputs. Paste last month from the POS, vendor bills / QBO, and in-house payroll. Leave location 3 blank if you run two. Preview rows under the locations are formulas — do not edit them.</t>
        </is>
      </c>
      <c r="H3" s="4" t="n"/>
    </row>
    <row r="4" ht="18" customHeight="1">
      <c r="A4" s="4" t="n"/>
      <c r="B4" s="4" t="n"/>
      <c r="C4" s="4" t="n"/>
      <c r="D4" s="4" t="n"/>
      <c r="E4" s="4" t="n"/>
      <c r="F4" s="4" t="n"/>
      <c r="G4" s="4" t="n"/>
      <c r="H4" s="4" t="n"/>
    </row>
    <row r="5" ht="20" customHeight="1">
      <c r="A5" s="4" t="n"/>
      <c r="B5" s="71" t="inlineStr">
        <is>
          <t>OPERATION</t>
        </is>
      </c>
      <c r="C5" s="15" t="n"/>
      <c r="D5" s="15" t="n"/>
      <c r="E5" s="15" t="n"/>
      <c r="F5" s="15" t="n"/>
      <c r="G5" s="15" t="n"/>
      <c r="H5" s="4" t="n"/>
    </row>
    <row r="6" ht="20" customHeight="1">
      <c r="A6" s="4" t="n"/>
      <c r="B6" s="13" t="inlineStr">
        <is>
          <t>Company / group name</t>
        </is>
      </c>
      <c r="C6" s="18" t="inlineStr">
        <is>
          <t>Harbor &amp; Pine Hospitality</t>
        </is>
      </c>
      <c r="D6" s="37" t="n"/>
      <c r="E6" s="38" t="n"/>
      <c r="F6" s="4" t="n"/>
      <c r="G6" s="14" t="inlineStr">
        <is>
          <t>Shown on every sheet and on the flash P&amp;L.</t>
        </is>
      </c>
      <c r="H6" s="4" t="n"/>
    </row>
    <row r="7" ht="20" customHeight="1">
      <c r="A7" s="4" t="n"/>
      <c r="B7" s="13" t="inlineStr">
        <is>
          <t>Period label</t>
        </is>
      </c>
      <c r="C7" s="18" t="inlineStr">
        <is>
          <t>4 weeks ended 23 Aug 2026</t>
        </is>
      </c>
      <c r="D7" s="37" t="n"/>
      <c r="E7" s="38" t="n"/>
      <c r="F7" s="4" t="n"/>
      <c r="G7" s="14" t="inlineStr">
        <is>
          <t>Type it the way you say it in the meeting.</t>
        </is>
      </c>
      <c r="H7" s="4" t="n"/>
    </row>
    <row r="8" ht="20" customHeight="1">
      <c r="A8" s="4" t="n"/>
      <c r="B8" s="13" t="inlineStr">
        <is>
          <t>Weeks in this period</t>
        </is>
      </c>
      <c r="C8" s="20" t="n">
        <v>4</v>
      </c>
      <c r="D8" s="4" t="n"/>
      <c r="E8" s="4" t="n"/>
      <c r="F8" s="4" t="n"/>
      <c r="G8" s="14" t="inlineStr">
        <is>
          <t>Usually 4. Calendar month is about 4.33.</t>
        </is>
      </c>
      <c r="H8" s="4" t="n"/>
    </row>
    <row r="9" ht="20" customHeight="1">
      <c r="A9" s="4" t="n"/>
      <c r="B9" s="13" t="inlineStr">
        <is>
          <t>Prime cost target</t>
        </is>
      </c>
      <c r="C9" s="39" t="n">
        <v>0.6</v>
      </c>
      <c r="D9" s="4" t="n"/>
      <c r="E9" s="4" t="n"/>
      <c r="F9" s="4" t="n"/>
      <c r="G9" s="14" t="inlineStr">
        <is>
          <t>Leak $ = amount prime sits above this.</t>
        </is>
      </c>
      <c r="H9" s="4" t="n"/>
    </row>
    <row r="10" ht="20" customHeight="1">
      <c r="A10" s="4" t="n"/>
      <c r="B10" s="13" t="inlineStr">
        <is>
          <t>Starting cash (for 8-week view)</t>
        </is>
      </c>
      <c r="C10" s="40" t="n">
        <v>22000</v>
      </c>
      <c r="D10" s="4" t="n"/>
      <c r="E10" s="4" t="n"/>
      <c r="F10" s="4" t="n"/>
      <c r="G10" s="14" t="inlineStr">
        <is>
          <t>Bank + till you would actually write checks against.</t>
        </is>
      </c>
      <c r="H10" s="4" t="n"/>
    </row>
    <row r="11" ht="20" customHeight="1">
      <c r="A11" s="4" t="n"/>
      <c r="B11" s="13" t="inlineStr">
        <is>
          <t>Default weekly other cash-out</t>
        </is>
      </c>
      <c r="C11" s="40" t="n">
        <v>9400</v>
      </c>
      <c r="D11" s="4" t="n"/>
      <c r="E11" s="4" t="n"/>
      <c r="F11" s="4" t="n"/>
      <c r="G11" s="14" t="inlineStr">
        <is>
          <t>Not prime. Not rent. The other cash that leaves every week.</t>
        </is>
      </c>
      <c r="H11" s="4" t="n"/>
    </row>
    <row r="12" ht="20" customHeight="1">
      <c r="A12" s="4" t="n"/>
      <c r="B12" s="13" t="inlineStr">
        <is>
          <t>Spread occupancy across weeks?</t>
        </is>
      </c>
      <c r="C12" s="23" t="inlineStr">
        <is>
          <t>No</t>
        </is>
      </c>
      <c r="D12" s="4" t="n"/>
      <c r="E12" s="4" t="n"/>
      <c r="F12" s="4" t="n"/>
      <c r="G12" s="14" t="inlineStr">
        <is>
          <t>No keeps rent lumpy, which is how it actually hits.</t>
        </is>
      </c>
      <c r="H12" s="4" t="n"/>
    </row>
    <row r="13" ht="18" customHeight="1">
      <c r="A13" s="4" t="n"/>
      <c r="B13" s="4" t="n"/>
      <c r="C13" s="4" t="n"/>
      <c r="D13" s="4" t="n"/>
      <c r="E13" s="4" t="n"/>
      <c r="F13" s="4" t="n"/>
      <c r="G13" s="4" t="n"/>
      <c r="H13" s="4" t="n"/>
    </row>
    <row r="14" ht="20" customHeight="1">
      <c r="A14" s="4" t="n"/>
      <c r="B14" s="71" t="inlineStr">
        <is>
          <t>LOCATIONS  —  up to three. Leave a name blank to hide that room everywhere.</t>
        </is>
      </c>
      <c r="C14" s="15" t="n"/>
      <c r="D14" s="15" t="n"/>
      <c r="E14" s="15" t="n"/>
      <c r="F14" s="15" t="n"/>
      <c r="G14" s="15" t="n"/>
      <c r="H14" s="4" t="n"/>
    </row>
    <row r="15" ht="20" customHeight="1">
      <c r="A15" s="4" t="n"/>
      <c r="B15" s="4" t="n"/>
      <c r="C15" s="1" t="inlineStr">
        <is>
          <t>Location 1</t>
        </is>
      </c>
      <c r="D15" s="1" t="inlineStr">
        <is>
          <t>Location 2</t>
        </is>
      </c>
      <c r="E15" s="1" t="inlineStr">
        <is>
          <t>Location 3</t>
        </is>
      </c>
      <c r="F15" s="1" t="inlineStr">
        <is>
          <t>Group</t>
        </is>
      </c>
      <c r="G15" s="4" t="n"/>
      <c r="H15" s="4" t="n"/>
    </row>
    <row r="16" ht="20" customHeight="1">
      <c r="A16" s="4" t="n"/>
      <c r="B16" s="13" t="inlineStr">
        <is>
          <t>Name</t>
        </is>
      </c>
      <c r="C16" s="18" t="inlineStr">
        <is>
          <t>Harbor Room</t>
        </is>
      </c>
      <c r="D16" s="18" t="inlineStr">
        <is>
          <t>Pine Street Grill</t>
        </is>
      </c>
      <c r="E16" s="18" t="n"/>
      <c r="F16" s="24">
        <f>IF(COUNTA(C16:E16)=0,"",COUNTA(C16:E16)&amp;" location"&amp;IF(COUNTA(C16:E16)=1,"","s"))</f>
        <v/>
      </c>
      <c r="G16" s="14" t="inlineStr">
        <is>
          <t>Blank name = that column is ignored on every other sheet.</t>
        </is>
      </c>
      <c r="H16" s="4" t="n"/>
    </row>
    <row r="17" ht="20" customHeight="1">
      <c r="A17" s="4" t="n"/>
      <c r="B17" s="13" t="inlineStr">
        <is>
          <t>Monthly sales $</t>
        </is>
      </c>
      <c r="C17" s="40" t="n">
        <v>208000</v>
      </c>
      <c r="D17" s="40" t="n">
        <v>146000</v>
      </c>
      <c r="E17" s="40" t="n"/>
      <c r="F17" s="41">
        <f>SUM(C17:E17)</f>
        <v/>
      </c>
      <c r="G17" s="14" t="inlineStr">
        <is>
          <t>Net sales you run the room on. Not including tax collected.</t>
        </is>
      </c>
      <c r="H17" s="4" t="n"/>
    </row>
    <row r="18" ht="20" customHeight="1">
      <c r="A18" s="4" t="n"/>
      <c r="B18" s="13" t="inlineStr">
        <is>
          <t>Food / merchandise cost $</t>
        </is>
      </c>
      <c r="C18" s="40" t="n">
        <v>56200</v>
      </c>
      <c r="D18" s="40" t="n">
        <v>49600</v>
      </c>
      <c r="E18" s="40" t="n"/>
      <c r="F18" s="41">
        <f>SUM(C18:E18)</f>
        <v/>
      </c>
      <c r="G18" s="14" t="inlineStr">
        <is>
          <t>Restaurants: food. Shops: merchandise. Period cost if you have it.</t>
        </is>
      </c>
      <c r="H18" s="4" t="n"/>
    </row>
    <row r="19" ht="20" customHeight="1">
      <c r="A19" s="4" t="n"/>
      <c r="B19" s="13" t="inlineStr">
        <is>
          <t>Beverage / 2nd-category cost $</t>
        </is>
      </c>
      <c r="C19" s="40" t="n">
        <v>18700</v>
      </c>
      <c r="D19" s="40" t="n">
        <v>12400</v>
      </c>
      <c r="E19" s="40" t="n"/>
      <c r="F19" s="41">
        <f>SUM(C19:E19)</f>
        <v/>
      </c>
      <c r="G19" s="14" t="inlineStr">
        <is>
          <t>Alcohol, or a second retail category. Type 0 if you do not split.</t>
        </is>
      </c>
      <c r="H19" s="4" t="n"/>
    </row>
    <row r="20" ht="20" customHeight="1">
      <c r="A20" s="4" t="n"/>
      <c r="B20" s="13" t="inlineStr">
        <is>
          <t>Labor $  (in-house, not full P&amp;L)</t>
        </is>
      </c>
      <c r="C20" s="40" t="n">
        <v>47800</v>
      </c>
      <c r="D20" s="40" t="n">
        <v>45300</v>
      </c>
      <c r="E20" s="40" t="n"/>
      <c r="F20" s="41">
        <f>SUM(C20:E20)</f>
        <v/>
      </c>
      <c r="G20" s="14" t="inlineStr">
        <is>
          <t>In-house hourly + salaried in the four walls. Not your full P&amp;L.</t>
        </is>
      </c>
      <c r="H20" s="4" t="n"/>
    </row>
    <row r="21" ht="20" customHeight="1">
      <c r="A21" s="4" t="n"/>
      <c r="B21" s="13" t="inlineStr">
        <is>
          <t>Occupancy / rent $</t>
        </is>
      </c>
      <c r="C21" s="40" t="n">
        <v>15600</v>
      </c>
      <c r="D21" s="40" t="n">
        <v>13200</v>
      </c>
      <c r="E21" s="40" t="n"/>
      <c r="F21" s="41">
        <f>SUM(C21:E21)</f>
        <v/>
      </c>
      <c r="G21" s="14" t="inlineStr">
        <is>
          <t>Rent, CAM, property tax, building NNN — if you have it. Else 0.</t>
        </is>
      </c>
      <c r="H21" s="4" t="n"/>
    </row>
    <row r="22" ht="18" customHeight="1">
      <c r="A22" s="4" t="n"/>
      <c r="B22" s="4" t="n"/>
      <c r="C22" s="4" t="n"/>
      <c r="D22" s="4" t="n"/>
      <c r="E22" s="4" t="n"/>
      <c r="F22" s="4" t="n"/>
      <c r="G22" s="4" t="n"/>
      <c r="H22" s="4" t="n"/>
    </row>
    <row r="23" ht="20" customHeight="1">
      <c r="A23" s="4" t="n"/>
      <c r="B23" s="71" t="inlineStr">
        <is>
          <t>THIS PERIOD  —  formulas. Overwrite the sand cells above, not these.</t>
        </is>
      </c>
      <c r="C23" s="15" t="n"/>
      <c r="D23" s="15" t="n"/>
      <c r="E23" s="15" t="n"/>
      <c r="F23" s="15" t="n"/>
      <c r="G23" s="15" t="n"/>
      <c r="H23" s="4" t="n"/>
    </row>
    <row r="24" ht="20" customHeight="1">
      <c r="A24" s="4" t="n"/>
      <c r="B24" s="13" t="inlineStr">
        <is>
          <t>Food / merchandise %</t>
        </is>
      </c>
      <c r="C24" s="42">
        <f>IF(C16="","",IF(C17=0,"",C18/C17))</f>
        <v/>
      </c>
      <c r="D24" s="42">
        <f>IF(D16="","",IF(D17=0,"",D18/D17))</f>
        <v/>
      </c>
      <c r="E24" s="42">
        <f>IF(E16="","",IF(E17=0,"",E18/E17))</f>
        <v/>
      </c>
      <c r="F24" s="43">
        <f>IF(F17=0,"",F18/F17)</f>
        <v/>
      </c>
      <c r="G24" s="4" t="n"/>
      <c r="H24" s="4" t="n"/>
    </row>
    <row r="25" ht="20" customHeight="1">
      <c r="A25" s="4" t="n"/>
      <c r="B25" s="13" t="inlineStr">
        <is>
          <t>Beverage / 2nd-category %</t>
        </is>
      </c>
      <c r="C25" s="42">
        <f>IF(C16="","",IF(C17=0,"",C19/C17))</f>
        <v/>
      </c>
      <c r="D25" s="42">
        <f>IF(D16="","",IF(D17=0,"",D19/D17))</f>
        <v/>
      </c>
      <c r="E25" s="42">
        <f>IF(E16="","",IF(E17=0,"",E19/E17))</f>
        <v/>
      </c>
      <c r="F25" s="43">
        <f>IF(F17=0,"",F19/F17)</f>
        <v/>
      </c>
      <c r="G25" s="4" t="n"/>
      <c r="H25" s="4" t="n"/>
    </row>
    <row r="26" ht="20" customHeight="1">
      <c r="A26" s="4" t="n"/>
      <c r="B26" s="13" t="inlineStr">
        <is>
          <t>Labor %</t>
        </is>
      </c>
      <c r="C26" s="42">
        <f>IF(C16="","",IF(C17=0,"",C20/C17))</f>
        <v/>
      </c>
      <c r="D26" s="42">
        <f>IF(D16="","",IF(D17=0,"",D20/D17))</f>
        <v/>
      </c>
      <c r="E26" s="42">
        <f>IF(E16="","",IF(E17=0,"",E20/E17))</f>
        <v/>
      </c>
      <c r="F26" s="43">
        <f>IF(F17=0,"",F20/F17)</f>
        <v/>
      </c>
      <c r="G26" s="4" t="n"/>
      <c r="H26" s="4" t="n"/>
    </row>
    <row r="27" ht="20" customHeight="1">
      <c r="A27" s="4" t="n"/>
      <c r="B27" s="13" t="inlineStr">
        <is>
          <t>Prime cost $</t>
        </is>
      </c>
      <c r="C27" s="44">
        <f>IF(C16="","",C18+C19+C20)</f>
        <v/>
      </c>
      <c r="D27" s="44">
        <f>IF(D16="","",D18+D19+D20)</f>
        <v/>
      </c>
      <c r="E27" s="44">
        <f>IF(E16="","",E18+E19+E20)</f>
        <v/>
      </c>
      <c r="F27" s="45">
        <f>F18+F19+F20</f>
        <v/>
      </c>
      <c r="G27" s="4" t="n"/>
      <c r="H27" s="4" t="n"/>
    </row>
    <row r="28" ht="20" customHeight="1">
      <c r="A28" s="4" t="n"/>
      <c r="B28" s="13" t="inlineStr">
        <is>
          <t>Prime cost %</t>
        </is>
      </c>
      <c r="C28" s="46">
        <f>IF(C16="","",IF(C17=0,"",(C18+C19+C20)/C17))</f>
        <v/>
      </c>
      <c r="D28" s="46">
        <f>IF(D16="","",IF(D17=0,"",(D18+D19+D20)/D17))</f>
        <v/>
      </c>
      <c r="E28" s="46">
        <f>IF(E16="","",IF(E17=0,"",(E18+E19+E20)/E17))</f>
        <v/>
      </c>
      <c r="F28" s="47">
        <f>IF(F17=0,"",(F18+F19+F20)/F17)</f>
        <v/>
      </c>
      <c r="G28" s="14" t="inlineStr">
        <is>
          <t>Prime = (food + beverage + in-house labor) / sales.</t>
        </is>
      </c>
      <c r="H28" s="4" t="n"/>
    </row>
    <row r="29" ht="20" customHeight="1">
      <c r="A29" s="4" t="n"/>
      <c r="B29" s="13" t="inlineStr">
        <is>
          <t>Occupancy %</t>
        </is>
      </c>
      <c r="C29" s="42">
        <f>IF(C16="","",IF(C17=0,"",C21/C17))</f>
        <v/>
      </c>
      <c r="D29" s="42">
        <f>IF(D16="","",IF(D17=0,"",D21/D17))</f>
        <v/>
      </c>
      <c r="E29" s="42">
        <f>IF(E16="","",IF(E17=0,"",E21/E17))</f>
        <v/>
      </c>
      <c r="F29" s="43">
        <f>IF(F17=0,"",F21/F17)</f>
        <v/>
      </c>
      <c r="G29" s="4" t="n"/>
      <c r="H29" s="4" t="n"/>
    </row>
    <row r="30" ht="20" customHeight="1">
      <c r="A30" s="4" t="n"/>
      <c r="B30" s="13" t="inlineStr">
        <is>
          <t>Four-wall $</t>
        </is>
      </c>
      <c r="C30" s="44">
        <f>IF(C16="","",C17-(C18+C19+C20)-C21)</f>
        <v/>
      </c>
      <c r="D30" s="44">
        <f>IF(D16="","",D17-(D18+D19+D20)-D21)</f>
        <v/>
      </c>
      <c r="E30" s="44">
        <f>IF(E16="","",E17-(E18+E19+E20)-E21)</f>
        <v/>
      </c>
      <c r="F30" s="45">
        <f>F17-(F18+F19+F20)-F21</f>
        <v/>
      </c>
      <c r="G30" s="14" t="inlineStr">
        <is>
          <t>Four-wall = sales minus prime $ minus occupancy. Contribution, not net profit.</t>
        </is>
      </c>
      <c r="H30" s="4" t="n"/>
    </row>
    <row r="31" ht="20" customHeight="1">
      <c r="A31" s="4" t="n"/>
      <c r="B31" s="13" t="inlineStr">
        <is>
          <t>Four-wall %</t>
        </is>
      </c>
      <c r="C31" s="42">
        <f>IF(C16="","",IF(C17=0,"",(C17-(C18+C19+C20)-C21)/C17))</f>
        <v/>
      </c>
      <c r="D31" s="42">
        <f>IF(D16="","",IF(D17=0,"",(D17-(D18+D19+D20)-D21)/D17))</f>
        <v/>
      </c>
      <c r="E31" s="42">
        <f>IF(E16="","",IF(E17=0,"",(E17-(E18+E19+E20)-E21)/E17))</f>
        <v/>
      </c>
      <c r="F31" s="43">
        <f>IF(F17=0,"",(F17-(F18+F19+F20)-F21)/F17)</f>
        <v/>
      </c>
      <c r="G31" s="4" t="n"/>
      <c r="H31" s="4" t="n"/>
    </row>
    <row r="32" ht="20" customHeight="1">
      <c r="A32" s="4" t="n"/>
      <c r="B32" s="13" t="inlineStr">
        <is>
          <t>Sales per week</t>
        </is>
      </c>
      <c r="C32" s="44">
        <f>IF(C16="","",IF($C$8=0,"",C17/$C$8))</f>
        <v/>
      </c>
      <c r="D32" s="44">
        <f>IF(D16="","",IF($C$8=0,"",D17/$C$8))</f>
        <v/>
      </c>
      <c r="E32" s="44">
        <f>IF(E16="","",IF($C$8=0,"",E17/$C$8))</f>
        <v/>
      </c>
      <c r="F32" s="45">
        <f>IF($C$8=0,"",F17/$C$8)</f>
        <v/>
      </c>
      <c r="G32" s="4" t="n"/>
      <c r="H32" s="4" t="n"/>
    </row>
    <row r="33" ht="20" customHeight="1">
      <c r="A33" s="4" t="n"/>
      <c r="B33" s="13" t="inlineStr">
        <is>
          <t>Labor per week</t>
        </is>
      </c>
      <c r="C33" s="44">
        <f>IF(C16="","",IF($C$8=0,"",C20/$C$8))</f>
        <v/>
      </c>
      <c r="D33" s="44">
        <f>IF(D16="","",IF($C$8=0,"",D20/$C$8))</f>
        <v/>
      </c>
      <c r="E33" s="44">
        <f>IF(E16="","",IF($C$8=0,"",E20/$C$8))</f>
        <v/>
      </c>
      <c r="F33" s="45">
        <f>IF($C$8=0,"",F20/$C$8)</f>
        <v/>
      </c>
      <c r="G33" s="4" t="n"/>
      <c r="H33" s="4" t="n"/>
    </row>
    <row r="34" ht="18" customHeight="1">
      <c r="A34" s="4" t="n"/>
      <c r="B34" s="4" t="n"/>
      <c r="C34" s="4" t="n"/>
      <c r="D34" s="4" t="n"/>
      <c r="E34" s="4" t="n"/>
      <c r="F34" s="4" t="n"/>
      <c r="G34" s="4" t="n"/>
      <c r="H34" s="4" t="n"/>
    </row>
    <row r="35" ht="20" customHeight="1">
      <c r="A35" s="4" t="n"/>
      <c r="B35" s="71" t="inlineStr">
        <is>
          <t>8-WEEK CASH OVERRIDES  —  blank follows run-rate. Type a number to pin a week.</t>
        </is>
      </c>
      <c r="C35" s="15" t="n"/>
      <c r="D35" s="15" t="n"/>
      <c r="E35" s="15" t="n"/>
      <c r="F35" s="15" t="n"/>
      <c r="G35" s="15" t="n"/>
      <c r="H35" s="4" t="n"/>
    </row>
    <row r="36" ht="36" customHeight="1">
      <c r="A36" s="4" t="n"/>
      <c r="B36" s="32" t="inlineStr">
        <is>
          <t>Sales, food+bev, and labor: blank = this period weekly run-rate (group / weeks). Occupancy: blank = 0 unless Spread occupancy is Yes. Type 0 to force a zero. Other: blank = default weekly other. The example pins week 1 (slow + both rents) so you can see a cash hole, and pins week 5 rent.</t>
        </is>
      </c>
      <c r="H36" s="4" t="n"/>
    </row>
    <row r="37" ht="22" customHeight="1">
      <c r="A37" s="4" t="n"/>
      <c r="B37" s="33" t="inlineStr">
        <is>
          <t>Week starting</t>
        </is>
      </c>
      <c r="C37" s="33" t="inlineStr">
        <is>
          <t>Sales $</t>
        </is>
      </c>
      <c r="D37" s="33" t="inlineStr">
        <is>
          <t>Food + bev $</t>
        </is>
      </c>
      <c r="E37" s="33" t="inlineStr">
        <is>
          <t>Labor $</t>
        </is>
      </c>
      <c r="F37" s="33" t="inlineStr">
        <is>
          <t>Occupancy $</t>
        </is>
      </c>
      <c r="G37" s="33" t="inlineStr">
        <is>
          <t>Other $</t>
        </is>
      </c>
      <c r="H37" s="4" t="n"/>
    </row>
    <row r="38" ht="20" customHeight="1">
      <c r="A38" s="4" t="n"/>
      <c r="B38" s="48" t="n">
        <v>46258</v>
      </c>
      <c r="C38" s="40" t="n">
        <v>62000</v>
      </c>
      <c r="D38" s="40" t="n">
        <v>32000</v>
      </c>
      <c r="E38" s="40" t="n">
        <v>24000</v>
      </c>
      <c r="F38" s="40" t="n">
        <v>28800</v>
      </c>
      <c r="G38" s="40" t="n"/>
      <c r="H38" s="4" t="n"/>
    </row>
    <row r="39" ht="20" customHeight="1">
      <c r="A39" s="4" t="n"/>
      <c r="B39" s="48" t="n">
        <v>46265</v>
      </c>
      <c r="C39" s="40" t="n"/>
      <c r="D39" s="40" t="n"/>
      <c r="E39" s="40" t="n"/>
      <c r="F39" s="40" t="n">
        <v>0</v>
      </c>
      <c r="G39" s="40" t="n"/>
      <c r="H39" s="4" t="n"/>
    </row>
    <row r="40" ht="20" customHeight="1">
      <c r="A40" s="4" t="n"/>
      <c r="B40" s="48" t="n">
        <v>46272</v>
      </c>
      <c r="C40" s="40" t="n"/>
      <c r="D40" s="40" t="n"/>
      <c r="E40" s="40" t="n"/>
      <c r="F40" s="40" t="n">
        <v>0</v>
      </c>
      <c r="G40" s="40" t="n"/>
      <c r="H40" s="4" t="n"/>
    </row>
    <row r="41" ht="20" customHeight="1">
      <c r="A41" s="4" t="n"/>
      <c r="B41" s="48" t="n">
        <v>46279</v>
      </c>
      <c r="C41" s="40" t="n"/>
      <c r="D41" s="40" t="n"/>
      <c r="E41" s="40" t="n"/>
      <c r="F41" s="40" t="n">
        <v>0</v>
      </c>
      <c r="G41" s="40" t="n"/>
      <c r="H41" s="4" t="n"/>
    </row>
    <row r="42" ht="20" customHeight="1">
      <c r="A42" s="4" t="n"/>
      <c r="B42" s="48" t="n">
        <v>46286</v>
      </c>
      <c r="C42" s="40" t="n"/>
      <c r="D42" s="40" t="n"/>
      <c r="E42" s="40" t="n"/>
      <c r="F42" s="40" t="n">
        <v>28800</v>
      </c>
      <c r="G42" s="40" t="n">
        <v>11000</v>
      </c>
      <c r="H42" s="4" t="n"/>
    </row>
    <row r="43" ht="20" customHeight="1">
      <c r="A43" s="4" t="n"/>
      <c r="B43" s="48" t="n">
        <v>46293</v>
      </c>
      <c r="C43" s="40" t="n">
        <v>72000</v>
      </c>
      <c r="D43" s="40" t="n"/>
      <c r="E43" s="40" t="n"/>
      <c r="F43" s="40" t="n">
        <v>0</v>
      </c>
      <c r="G43" s="40" t="n"/>
      <c r="H43" s="4" t="n"/>
    </row>
    <row r="44" ht="20" customHeight="1">
      <c r="A44" s="4" t="n"/>
      <c r="B44" s="48" t="n">
        <v>46300</v>
      </c>
      <c r="C44" s="40" t="n"/>
      <c r="D44" s="40" t="n"/>
      <c r="E44" s="40" t="n"/>
      <c r="F44" s="40" t="n">
        <v>0</v>
      </c>
      <c r="G44" s="40" t="n"/>
      <c r="H44" s="4" t="n"/>
    </row>
    <row r="45" ht="20" customHeight="1">
      <c r="A45" s="4" t="n"/>
      <c r="B45" s="48" t="n">
        <v>46307</v>
      </c>
      <c r="C45" s="40" t="n"/>
      <c r="D45" s="40" t="n"/>
      <c r="E45" s="40" t="n"/>
      <c r="F45" s="40" t="n">
        <v>0</v>
      </c>
      <c r="G45" s="40" t="n">
        <v>15500</v>
      </c>
      <c r="H45" s="4" t="n"/>
    </row>
    <row r="46" ht="18" customHeight="1">
      <c r="A46" s="4" t="n"/>
      <c r="B46" s="4" t="n"/>
      <c r="C46" s="4" t="n"/>
      <c r="D46" s="4" t="n"/>
      <c r="E46" s="4" t="n"/>
      <c r="F46" s="4" t="n"/>
      <c r="G46" s="4" t="n"/>
      <c r="H46" s="4" t="n"/>
    </row>
    <row r="47" ht="20" customHeight="1">
      <c r="A47" s="4" t="n"/>
      <c r="B47" s="13" t="inlineStr">
        <is>
          <t>Run-rate this period (formulas)</t>
        </is>
      </c>
      <c r="C47" s="49">
        <f>IF($C$8=0,"",F17/$C$8)</f>
        <v/>
      </c>
      <c r="D47" s="49">
        <f>IF($C$8=0,"",(F18+F19)/$C$8)</f>
        <v/>
      </c>
      <c r="E47" s="49">
        <f>IF($C$8=0,"",F20/$C$8)</f>
        <v/>
      </c>
      <c r="F47" s="49">
        <f>IF($C$12="Yes",IF($C$8=0,"",F21/$C$8),0)</f>
        <v/>
      </c>
      <c r="G47" s="49">
        <f>$C$11</f>
        <v/>
      </c>
      <c r="H47" s="4" t="n"/>
    </row>
    <row r="48" ht="32" customHeight="1">
      <c r="A48" s="4" t="n"/>
      <c r="B48" s="32" t="inlineStr">
        <is>
          <t>This is not a P&amp;L import. Type the five numbers per room. Labor is in-house only — skip corporate overhead. Be consistent month to month or the trend is a lie.</t>
        </is>
      </c>
      <c r="H48" s="4" t="n"/>
    </row>
    <row r="49" ht="18" customHeight="1">
      <c r="A49" s="4" t="n"/>
      <c r="B49" s="4" t="n"/>
      <c r="C49" s="4" t="n"/>
      <c r="D49" s="4" t="n"/>
      <c r="E49" s="4" t="n"/>
      <c r="F49" s="4" t="n"/>
      <c r="G49" s="4" t="n"/>
      <c r="H49" s="4" t="n"/>
    </row>
    <row r="50" ht="20" customHeight="1">
      <c r="A50" s="4" t="n"/>
      <c r="B50" s="14" t="inlineStr">
        <is>
          <t>Menu Mix items are typed on that sheet. Flash P&amp;L action lines are typed on Flash P&amp;L. Everything else reads from this tab.</t>
        </is>
      </c>
      <c r="H50" s="4" t="n"/>
    </row>
    <row r="51" ht="18" customHeight="1">
      <c r="A51" s="4" t="n"/>
      <c r="B51" s="4" t="n"/>
      <c r="C51" s="4" t="n"/>
      <c r="D51" s="4" t="n"/>
      <c r="E51" s="4" t="n"/>
      <c r="F51" s="4" t="n"/>
      <c r="G51" s="4" t="n"/>
      <c r="H51" s="4" t="n"/>
    </row>
    <row r="52" ht="18" customHeight="1">
      <c r="A52" s="4" t="n"/>
      <c r="B52" s="4" t="n"/>
      <c r="C52" s="4" t="n"/>
      <c r="D52" s="4" t="n"/>
      <c r="E52" s="4" t="n"/>
      <c r="F52" s="4" t="n"/>
      <c r="G52" s="4" t="n"/>
      <c r="H52" s="4" t="n"/>
    </row>
  </sheetData>
  <mergeCells count="12">
    <mergeCell ref="B3:G3"/>
    <mergeCell ref="B2:G2"/>
    <mergeCell ref="B5:G5"/>
    <mergeCell ref="B14:G14"/>
    <mergeCell ref="B36:G36"/>
    <mergeCell ref="B1:D1"/>
    <mergeCell ref="B23:G23"/>
    <mergeCell ref="B35:G35"/>
    <mergeCell ref="B50:G50"/>
    <mergeCell ref="C7:E7"/>
    <mergeCell ref="B48:G48"/>
    <mergeCell ref="C6:E6"/>
  </mergeCells>
  <dataValidations count="3">
    <dataValidation sqref="C8" showDropDown="0" showInputMessage="0" showErrorMessage="1" allowBlank="0" errorTitle="Weeks" error="Use 1 to 6." type="decimal" operator="between">
      <formula1>1</formula1>
      <formula2>6</formula2>
    </dataValidation>
    <dataValidation sqref="C9" showDropDown="0" showInputMessage="0" showErrorMessage="1" allowBlank="0" errorTitle="Target" error="Enter a percent between 35% and 85%." type="decimal" operator="between">
      <formula1>0.35</formula1>
      <formula2>0.85</formula2>
    </dataValidation>
    <dataValidation sqref="C12" showDropDown="0" showInputMessage="0" showErrorMessage="1" allowBlank="0" errorTitle="Spread occupancy" error="Choose Yes or No." type="list">
      <formula1>"Yes,No"</formula1>
    </dataValidation>
  </dataValidations>
  <printOptions horizontalCentered="1"/>
  <pageMargins left="0.5" right="0.5" top="0.7" bottom="0.55" header="0.28" footer="0.28"/>
  <pageSetup orientation="landscape" paperSize="1" fitToHeight="2" fitToWidth="1"/>
  <headerFooter>
    <oddHeader>&amp;L&amp;"Calibri"&amp;8 FOURWALL  ·  MARGIN KIT</oddHeader>
    <oddFooter>&amp;L&amp;"Calibri"&amp;8 Decision tool. Not accounting. Not tax.&amp;R&amp;"Calibri"&amp;8 Page &amp;P of &amp;N</oddFooter>
    <evenHeader/>
    <evenFooter/>
    <firstHeader/>
    <firstFooter/>
  </headerFooter>
  <legacyDrawing xmlns:r="http://schemas.openxmlformats.org/officeDocument/2006/relationships" r:id="anysvml"/>
</worksheet>
</file>

<file path=xl/worksheets/sheet3.xml><?xml version="1.0" encoding="utf-8"?>
<worksheet xmlns="http://schemas.openxmlformats.org/spreadsheetml/2006/main">
  <sheetPr>
    <tabColor rgb="006F6A63"/>
    <outlinePr summaryBelow="1" summaryRight="1"/>
    <pageSetUpPr fitToPage="1"/>
  </sheetPr>
  <dimension ref="A1:L38"/>
  <sheetViews>
    <sheetView showGridLines="0" zoomScale="110" workbookViewId="0">
      <pane xSplit="2" ySplit="6" topLeftCell="C7" activePane="bottomRight" state="frozen"/>
      <selection pane="topRight" activeCell="A1" sqref="A1"/>
      <selection pane="bottomLeft" activeCell="A1" sqref="A1"/>
      <selection pane="bottomRight" activeCell="A1" sqref="A1"/>
    </sheetView>
  </sheetViews>
  <sheetFormatPr baseColWidth="8" defaultRowHeight="15"/>
  <cols>
    <col width="3" customWidth="1" min="1" max="1"/>
    <col width="28" customWidth="1" min="2" max="2"/>
    <col width="18" customWidth="1" min="3" max="3"/>
    <col width="18" customWidth="1" min="4" max="4"/>
    <col width="18" customWidth="1" min="5" max="5"/>
    <col width="18" customWidth="1" min="6" max="6"/>
    <col width="38" customWidth="1" min="7" max="7"/>
    <col width="3" customWidth="1" min="8" max="8"/>
  </cols>
  <sheetData>
    <row r="1" ht="22" customHeight="1">
      <c r="A1" s="1" t="inlineStr"/>
      <c r="B1" s="2" t="inlineStr">
        <is>
          <t>FOURWALL  ·  MARGIN KIT</t>
        </is>
      </c>
      <c r="E1" s="1" t="inlineStr"/>
      <c r="F1" s="1" t="inlineStr"/>
      <c r="G1" s="1" t="inlineStr"/>
      <c r="H1" s="3" t="inlineStr">
        <is>
          <t>PRIME COST</t>
        </is>
      </c>
    </row>
    <row r="2" ht="22" customHeight="1">
      <c r="A2" s="4" t="n"/>
      <c r="B2" s="16" t="inlineStr">
        <is>
          <t>Prime cost  —  food + beverage + in-house labor</t>
        </is>
      </c>
      <c r="H2" s="4" t="n"/>
    </row>
    <row r="3" ht="20" customHeight="1">
      <c r="A3" s="4" t="n"/>
      <c r="B3" s="50">
        <f>Company&amp;"  ·  "&amp;PeriodLabel</f>
        <v/>
      </c>
      <c r="H3" s="4" t="n"/>
    </row>
    <row r="4" ht="44" customHeight="1">
      <c r="A4" s="4" t="n"/>
      <c r="B4" s="12" t="inlineStr">
        <is>
          <t>Rule of thumb, not a census: many independent full-service operators run prime cost in the mid-50s to mid-60s percent of sales. QSR often runs lower food and higher labor. Fast casual sits in between. Set your own target on Inputs. Dollar leak is how much prime sits above that target, in cash — the money that did not make it to four-wall.</t>
        </is>
      </c>
      <c r="H4" s="4" t="n"/>
    </row>
    <row r="5" ht="18" customHeight="1">
      <c r="A5" s="4" t="n"/>
      <c r="B5" s="4" t="n"/>
      <c r="C5" s="4" t="n"/>
      <c r="D5" s="4" t="n"/>
      <c r="E5" s="4" t="n"/>
      <c r="F5" s="4" t="n"/>
      <c r="G5" s="4" t="n"/>
      <c r="H5" s="4" t="n"/>
    </row>
    <row r="6" ht="22" customHeight="1">
      <c r="A6" s="4" t="n"/>
      <c r="B6" s="33" t="inlineStr"/>
      <c r="C6" s="1">
        <f>IF(Loc1Name="","",Loc1Name)</f>
        <v/>
      </c>
      <c r="D6" s="1">
        <f>IF(Loc2Name="","",Loc2Name)</f>
        <v/>
      </c>
      <c r="E6" s="1">
        <f>IF(Loc3Name="","",Loc3Name)</f>
        <v/>
      </c>
      <c r="F6" s="1" t="inlineStr">
        <is>
          <t>Group</t>
        </is>
      </c>
      <c r="G6" s="33" t="inlineStr">
        <is>
          <t>Read this</t>
        </is>
      </c>
      <c r="H6" s="4" t="n"/>
      <c r="I6" s="51" t="inlineStr">
        <is>
          <t>Room</t>
        </is>
      </c>
      <c r="J6" s="51" t="inlineStr">
        <is>
          <t>Food %</t>
        </is>
      </c>
      <c r="K6" s="51" t="inlineStr">
        <is>
          <t>Bev %</t>
        </is>
      </c>
      <c r="L6" s="51" t="inlineStr">
        <is>
          <t>Labor %</t>
        </is>
      </c>
    </row>
    <row r="7" ht="20" customHeight="1">
      <c r="A7" s="4" t="n"/>
      <c r="B7" s="52" t="inlineStr">
        <is>
          <t>Sales</t>
        </is>
      </c>
      <c r="C7" s="53">
        <f>IF(Loc1Name="","",Loc1Sales)</f>
        <v/>
      </c>
      <c r="D7" s="53">
        <f>IF(Loc2Name="","",Loc2Sales)</f>
        <v/>
      </c>
      <c r="E7" s="53">
        <f>IF(Loc3Name="","",Loc3Sales)</f>
        <v/>
      </c>
      <c r="F7" s="54">
        <f>GroupSales</f>
        <v/>
      </c>
      <c r="G7" s="55" t="inlineStr">
        <is>
          <t>What you rang. Tax collected stays out.</t>
        </is>
      </c>
      <c r="H7" s="4" t="n"/>
      <c r="I7" s="56">
        <f>IF(Loc1Name="","Location 1",Loc1Name)</f>
        <v/>
      </c>
      <c r="J7" s="57">
        <f>IF(OR(Loc1Name="",Loc1Sales=0),0,Loc1Food/Loc1Sales)</f>
        <v/>
      </c>
      <c r="K7" s="57">
        <f>IF(OR(Loc1Name="",Loc1Sales=0),0,Loc1Bev/Loc1Sales)</f>
        <v/>
      </c>
      <c r="L7" s="57">
        <f>IF(OR(Loc1Name="",Loc1Sales=0),0,Loc1Labor/Loc1Sales)</f>
        <v/>
      </c>
    </row>
    <row r="8" ht="20" customHeight="1">
      <c r="A8" s="4" t="n"/>
      <c r="B8" s="58" t="inlineStr">
        <is>
          <t>Food / merchandise $</t>
        </is>
      </c>
      <c r="C8" s="59">
        <f>IF(Loc1Name="","",Loc1Food)</f>
        <v/>
      </c>
      <c r="D8" s="59">
        <f>IF(Loc2Name="","",Loc2Food)</f>
        <v/>
      </c>
      <c r="E8" s="59">
        <f>IF(Loc3Name="","",Loc3Food)</f>
        <v/>
      </c>
      <c r="F8" s="54">
        <f>GroupFood</f>
        <v/>
      </c>
      <c r="G8" s="55" t="inlineStr">
        <is>
          <t>Period cost if you have it.</t>
        </is>
      </c>
      <c r="H8" s="4" t="n"/>
      <c r="I8" s="56">
        <f>IF(Loc2Name="","Location 2",Loc2Name)</f>
        <v/>
      </c>
      <c r="J8" s="57">
        <f>IF(OR(Loc2Name="",Loc2Sales=0),0,Loc2Food/Loc2Sales)</f>
        <v/>
      </c>
      <c r="K8" s="57">
        <f>IF(OR(Loc2Name="",Loc2Sales=0),0,Loc2Bev/Loc2Sales)</f>
        <v/>
      </c>
      <c r="L8" s="57">
        <f>IF(OR(Loc2Name="",Loc2Sales=0),0,Loc2Labor/Loc2Sales)</f>
        <v/>
      </c>
    </row>
    <row r="9" ht="20" customHeight="1">
      <c r="A9" s="4" t="n"/>
      <c r="B9" s="52" t="inlineStr">
        <is>
          <t>Food / merchandise %</t>
        </is>
      </c>
      <c r="C9" s="60">
        <f>IF(Loc1Name="","",IF(Loc1Sales=0,"",Loc1Food/Loc1Sales))</f>
        <v/>
      </c>
      <c r="D9" s="60">
        <f>IF(Loc2Name="","",IF(Loc2Sales=0,"",Loc2Food/Loc2Sales))</f>
        <v/>
      </c>
      <c r="E9" s="60">
        <f>IF(Loc3Name="","",IF(Loc3Sales=0,"",Loc3Food/Loc3Sales))</f>
        <v/>
      </c>
      <c r="F9" s="61">
        <f>IF(GroupSales=0,"",GroupFood/GroupSales)</f>
        <v/>
      </c>
      <c r="G9" s="55" t="inlineStr">
        <is>
          <t>Shops: merchandise cost %.</t>
        </is>
      </c>
      <c r="H9" s="4" t="n"/>
      <c r="I9" s="56" t="inlineStr">
        <is>
          <t>Group</t>
        </is>
      </c>
      <c r="J9" s="57">
        <f>IF(GroupSales=0,0,GroupFood/GroupSales)</f>
        <v/>
      </c>
      <c r="K9" s="57">
        <f>IF(GroupSales=0,0,GroupBev/GroupSales)</f>
        <v/>
      </c>
      <c r="L9" s="57">
        <f>IF(GroupSales=0,0,GroupLabor/GroupSales)</f>
        <v/>
      </c>
    </row>
    <row r="10" ht="20" customHeight="1">
      <c r="A10" s="4" t="n"/>
      <c r="B10" s="58" t="inlineStr">
        <is>
          <t>Beverage / 2nd-category $</t>
        </is>
      </c>
      <c r="C10" s="59">
        <f>IF(Loc1Name="","",Loc1Bev)</f>
        <v/>
      </c>
      <c r="D10" s="59">
        <f>IF(Loc2Name="","",Loc2Bev)</f>
        <v/>
      </c>
      <c r="E10" s="59">
        <f>IF(Loc3Name="","",Loc3Bev)</f>
        <v/>
      </c>
      <c r="F10" s="54">
        <f>GroupBev</f>
        <v/>
      </c>
      <c r="G10" s="55" t="inlineStr"/>
      <c r="H10" s="4" t="n"/>
    </row>
    <row r="11" ht="20" customHeight="1">
      <c r="A11" s="4" t="n"/>
      <c r="B11" s="52" t="inlineStr">
        <is>
          <t>Beverage / 2nd-category %</t>
        </is>
      </c>
      <c r="C11" s="60">
        <f>IF(Loc1Name="","",IF(Loc1Sales=0,"",Loc1Bev/Loc1Sales))</f>
        <v/>
      </c>
      <c r="D11" s="60">
        <f>IF(Loc2Name="","",IF(Loc2Sales=0,"",Loc2Bev/Loc2Sales))</f>
        <v/>
      </c>
      <c r="E11" s="60">
        <f>IF(Loc3Name="","",IF(Loc3Sales=0,"",Loc3Bev/Loc3Sales))</f>
        <v/>
      </c>
      <c r="F11" s="61">
        <f>IF(GroupSales=0,"",GroupBev/GroupSales)</f>
        <v/>
      </c>
      <c r="G11" s="55" t="inlineStr"/>
      <c r="H11" s="4" t="n"/>
    </row>
    <row r="12" ht="20" customHeight="1">
      <c r="A12" s="4" t="n"/>
      <c r="B12" s="58" t="inlineStr">
        <is>
          <t>Labor $  (in-house)</t>
        </is>
      </c>
      <c r="C12" s="59">
        <f>IF(Loc1Name="","",Loc1Labor)</f>
        <v/>
      </c>
      <c r="D12" s="59">
        <f>IF(Loc2Name="","",Loc2Labor)</f>
        <v/>
      </c>
      <c r="E12" s="59">
        <f>IF(Loc3Name="","",Loc3Labor)</f>
        <v/>
      </c>
      <c r="F12" s="54">
        <f>GroupLabor</f>
        <v/>
      </c>
      <c r="G12" s="55" t="inlineStr">
        <is>
          <t>Hourly + salaried in the room.</t>
        </is>
      </c>
      <c r="H12" s="4" t="n"/>
    </row>
    <row r="13" ht="20" customHeight="1">
      <c r="A13" s="4" t="n"/>
      <c r="B13" s="52" t="inlineStr">
        <is>
          <t>Labor %</t>
        </is>
      </c>
      <c r="C13" s="60">
        <f>IF(Loc1Name="","",IF(Loc1Sales=0,"",Loc1Labor/Loc1Sales))</f>
        <v/>
      </c>
      <c r="D13" s="60">
        <f>IF(Loc2Name="","",IF(Loc2Sales=0,"",Loc2Labor/Loc2Sales))</f>
        <v/>
      </c>
      <c r="E13" s="60">
        <f>IF(Loc3Name="","",IF(Loc3Sales=0,"",Loc3Labor/Loc3Sales))</f>
        <v/>
      </c>
      <c r="F13" s="61">
        <f>IF(GroupSales=0,"",GroupLabor/GroupSales)</f>
        <v/>
      </c>
      <c r="G13" s="55" t="inlineStr">
        <is>
          <t>Sticky. This is where feel-based scheduling shows up.</t>
        </is>
      </c>
      <c r="H13" s="4" t="n"/>
    </row>
    <row r="14" ht="20" customHeight="1">
      <c r="A14" s="4" t="n"/>
      <c r="B14" s="62" t="inlineStr">
        <is>
          <t>Prime cost $</t>
        </is>
      </c>
      <c r="C14" s="63">
        <f>IF(Loc1Name="","",Loc1Food+Loc1Bev+Loc1Labor)</f>
        <v/>
      </c>
      <c r="D14" s="63">
        <f>IF(Loc2Name="","",Loc2Food+Loc2Bev+Loc2Labor)</f>
        <v/>
      </c>
      <c r="E14" s="63">
        <f>IF(Loc3Name="","",Loc3Food+Loc3Bev+Loc3Labor)</f>
        <v/>
      </c>
      <c r="F14" s="54">
        <f>GroupFood+GroupBev+GroupLabor</f>
        <v/>
      </c>
      <c r="G14" s="55" t="inlineStr">
        <is>
          <t>Food + bev + labor.</t>
        </is>
      </c>
      <c r="H14" s="4" t="n"/>
    </row>
    <row r="15" ht="20" customHeight="1">
      <c r="A15" s="4" t="n"/>
      <c r="B15" s="64" t="inlineStr">
        <is>
          <t>Prime cost %</t>
        </is>
      </c>
      <c r="C15" s="65">
        <f>IF(Loc1Name="","",IF(Loc1Sales=0,"",(Loc1Food+Loc1Bev+Loc1Labor)/Loc1Sales))</f>
        <v/>
      </c>
      <c r="D15" s="65">
        <f>IF(Loc2Name="","",IF(Loc2Sales=0,"",(Loc2Food+Loc2Bev+Loc2Labor)/Loc2Sales))</f>
        <v/>
      </c>
      <c r="E15" s="65">
        <f>IF(Loc3Name="","",IF(Loc3Sales=0,"",(Loc3Food+Loc3Bev+Loc3Labor)/Loc3Sales))</f>
        <v/>
      </c>
      <c r="F15" s="61">
        <f>IF(GroupSales=0,"",(GroupFood+GroupBev+GroupLabor)/GroupSales)</f>
        <v/>
      </c>
      <c r="G15" s="55" t="inlineStr">
        <is>
          <t>The number.</t>
        </is>
      </c>
      <c r="H15" s="4" t="n"/>
    </row>
    <row r="16" ht="20" customHeight="1">
      <c r="A16" s="4" t="n"/>
      <c r="B16" s="58" t="inlineStr">
        <is>
          <t>Your target</t>
        </is>
      </c>
      <c r="C16" s="66">
        <f>IF(Loc1Name="","",PrimeTarget)</f>
        <v/>
      </c>
      <c r="D16" s="66">
        <f>IF(Loc2Name="","",PrimeTarget)</f>
        <v/>
      </c>
      <c r="E16" s="66">
        <f>IF(Loc3Name="","",PrimeTarget)</f>
        <v/>
      </c>
      <c r="F16" s="61">
        <f>PrimeTarget</f>
        <v/>
      </c>
      <c r="G16" s="55" t="inlineStr">
        <is>
          <t>Set on Inputs. Default 60%.</t>
        </is>
      </c>
      <c r="H16" s="4" t="n"/>
    </row>
    <row r="17" ht="20" customHeight="1">
      <c r="A17" s="4" t="n"/>
      <c r="B17" s="52" t="inlineStr">
        <is>
          <t>Gap vs target</t>
        </is>
      </c>
      <c r="C17" s="60">
        <f>IF(Loc1Name="","",IF(Loc1Sales=0,"",(Loc1Food+Loc1Bev+Loc1Labor)/Loc1Sales-PrimeTarget))</f>
        <v/>
      </c>
      <c r="D17" s="60">
        <f>IF(Loc2Name="","",IF(Loc2Sales=0,"",(Loc2Food+Loc2Bev+Loc2Labor)/Loc2Sales-PrimeTarget))</f>
        <v/>
      </c>
      <c r="E17" s="60">
        <f>IF(Loc3Name="","",IF(Loc3Sales=0,"",(Loc3Food+Loc3Bev+Loc3Labor)/Loc3Sales-PrimeTarget))</f>
        <v/>
      </c>
      <c r="F17" s="61">
        <f>IF(GroupSales=0,"",(GroupFood+GroupBev+GroupLabor)/GroupSales-PrimeTarget)</f>
        <v/>
      </c>
      <c r="G17" s="55" t="inlineStr">
        <is>
          <t>Positive = over target.</t>
        </is>
      </c>
      <c r="H17" s="4" t="n"/>
    </row>
    <row r="18" ht="20" customHeight="1">
      <c r="A18" s="4" t="n"/>
      <c r="B18" s="62" t="inlineStr">
        <is>
          <t>Dollar leak vs target</t>
        </is>
      </c>
      <c r="C18" s="63">
        <f>IF(Loc1Name="","",IF(Loc1Sales=0,"",MAX(0,((Loc1Food+Loc1Bev+Loc1Labor)/Loc1Sales-PrimeTarget)*Loc1Sales)))</f>
        <v/>
      </c>
      <c r="D18" s="63">
        <f>IF(Loc2Name="","",IF(Loc2Sales=0,"",MAX(0,((Loc2Food+Loc2Bev+Loc2Labor)/Loc2Sales-PrimeTarget)*Loc2Sales)))</f>
        <v/>
      </c>
      <c r="E18" s="63">
        <f>IF(Loc3Name="","",IF(Loc3Sales=0,"",MAX(0,((Loc3Food+Loc3Bev+Loc3Labor)/Loc3Sales-PrimeTarget)*Loc3Sales)))</f>
        <v/>
      </c>
      <c r="F18" s="54">
        <f>IF(GroupSales=0,"",MAX(0,((GroupFood+GroupBev+GroupLabor)/GroupSales-PrimeTarget)*GroupSales))</f>
        <v/>
      </c>
      <c r="G18" s="55" t="inlineStr">
        <is>
          <t>Cash that missed four-wall because prime ran hot.</t>
        </is>
      </c>
      <c r="H18" s="4" t="n"/>
    </row>
    <row r="19" ht="18" customHeight="1">
      <c r="A19" s="4" t="n"/>
      <c r="B19" s="4" t="n"/>
      <c r="C19" s="4" t="n"/>
      <c r="D19" s="4" t="n"/>
      <c r="E19" s="4" t="n"/>
      <c r="F19" s="4" t="n"/>
      <c r="G19" s="4" t="n"/>
      <c r="H19" s="4" t="n"/>
    </row>
    <row r="20" ht="22" customHeight="1">
      <c r="A20" s="4" t="n"/>
      <c r="B20" s="67" t="inlineStr">
        <is>
          <t>Vs typical independent full-service band</t>
        </is>
      </c>
      <c r="C20" s="68">
        <f>IF(Loc1Name="","",IF((Loc1Food+Loc1Bev+Loc1Labor)/Loc1Sales&lt;0.55,"Below typical FSR band",IF((Loc1Food+Loc1Bev+Loc1Labor)/Loc1Sales&lt;=0.65,"Inside typical FSR band","Above typical FSR band")))</f>
        <v/>
      </c>
      <c r="D20" s="68">
        <f>IF(Loc2Name="","",IF((Loc2Food+Loc2Bev+Loc2Labor)/Loc2Sales&lt;0.55,"Below typical FSR band",IF((Loc2Food+Loc2Bev+Loc2Labor)/Loc2Sales&lt;=0.65,"Inside typical FSR band","Above typical FSR band")))</f>
        <v/>
      </c>
      <c r="E20" s="68">
        <f>IF(Loc3Name="","",IF((Loc3Food+Loc3Bev+Loc3Labor)/Loc3Sales&lt;0.55,"Below typical FSR band",IF((Loc3Food+Loc3Bev+Loc3Labor)/Loc3Sales&lt;=0.65,"Inside typical FSR band","Above typical FSR band")))</f>
        <v/>
      </c>
      <c r="F20" s="69">
        <f>IF(GroupSales=0,"",IF((GroupFood+GroupBev+GroupLabor)/GroupSales&lt;0.55,"Below typical FSR band",IF((GroupFood+GroupBev+GroupLabor)/GroupSales&lt;=0.65,"Inside typical FSR band","Above typical FSR band")))</f>
        <v/>
      </c>
      <c r="G20" s="4" t="n"/>
      <c r="H20" s="4" t="n"/>
    </row>
    <row r="21" ht="28" customHeight="1">
      <c r="A21" s="4" t="n"/>
      <c r="B21" s="70" t="inlineStr">
        <is>
          <t>Band label is a rule of thumb for independent full-service rooms. It is not an industry census and it is not a grade. A high-labor concept can be healthy above 65% if the check and occupancy match the model. Read leak in dollars, not the label.</t>
        </is>
      </c>
      <c r="H21" s="4" t="n"/>
    </row>
    <row r="22" ht="18" customHeight="1">
      <c r="A22" s="4" t="n"/>
      <c r="B22" s="4" t="n"/>
      <c r="C22" s="4" t="n"/>
      <c r="D22" s="4" t="n"/>
      <c r="E22" s="4" t="n"/>
      <c r="F22" s="4" t="n"/>
      <c r="G22" s="4" t="n"/>
      <c r="H22" s="4" t="n"/>
    </row>
    <row r="23" ht="18" customHeight="1">
      <c r="A23" s="4" t="n"/>
      <c r="B23" s="4" t="n"/>
      <c r="C23" s="4" t="n"/>
      <c r="D23" s="4" t="n"/>
      <c r="E23" s="4" t="n"/>
      <c r="F23" s="4" t="n"/>
      <c r="G23" s="4" t="n"/>
      <c r="H23" s="4" t="n"/>
    </row>
    <row r="24" ht="18" customHeight="1">
      <c r="A24" s="4" t="n"/>
      <c r="B24" s="4" t="n"/>
      <c r="C24" s="4" t="n"/>
      <c r="D24" s="4" t="n"/>
      <c r="E24" s="4" t="n"/>
      <c r="F24" s="4" t="n"/>
      <c r="G24" s="4" t="n"/>
      <c r="H24" s="4" t="n"/>
    </row>
    <row r="25" ht="18" customHeight="1">
      <c r="A25" s="4" t="n"/>
      <c r="B25" s="4" t="n"/>
      <c r="C25" s="4" t="n"/>
      <c r="D25" s="4" t="n"/>
      <c r="E25" s="4" t="n"/>
      <c r="F25" s="4" t="n"/>
      <c r="G25" s="4" t="n"/>
      <c r="H25" s="4" t="n"/>
    </row>
    <row r="26" ht="18" customHeight="1">
      <c r="A26" s="4" t="n"/>
      <c r="B26" s="4" t="n"/>
      <c r="C26" s="4" t="n"/>
      <c r="D26" s="4" t="n"/>
      <c r="E26" s="4" t="n"/>
      <c r="F26" s="4" t="n"/>
      <c r="G26" s="4" t="n"/>
      <c r="H26" s="4" t="n"/>
    </row>
    <row r="27" ht="18" customHeight="1">
      <c r="A27" s="4" t="n"/>
      <c r="B27" s="4" t="n"/>
      <c r="C27" s="4" t="n"/>
      <c r="D27" s="4" t="n"/>
      <c r="E27" s="4" t="n"/>
      <c r="F27" s="4" t="n"/>
      <c r="G27" s="4" t="n"/>
      <c r="H27" s="4" t="n"/>
    </row>
    <row r="28" ht="18" customHeight="1">
      <c r="A28" s="4" t="n"/>
      <c r="B28" s="4" t="n"/>
      <c r="C28" s="4" t="n"/>
      <c r="D28" s="4" t="n"/>
      <c r="E28" s="4" t="n"/>
      <c r="F28" s="4" t="n"/>
      <c r="G28" s="4" t="n"/>
      <c r="H28" s="4" t="n"/>
    </row>
    <row r="29" ht="18" customHeight="1">
      <c r="A29" s="4" t="n"/>
      <c r="B29" s="4" t="n"/>
      <c r="C29" s="4" t="n"/>
      <c r="D29" s="4" t="n"/>
      <c r="E29" s="4" t="n"/>
      <c r="F29" s="4" t="n"/>
      <c r="G29" s="4" t="n"/>
      <c r="H29" s="4" t="n"/>
    </row>
    <row r="30" ht="18" customHeight="1">
      <c r="A30" s="4" t="n"/>
      <c r="B30" s="4" t="n"/>
      <c r="C30" s="4" t="n"/>
      <c r="D30" s="4" t="n"/>
      <c r="E30" s="4" t="n"/>
      <c r="F30" s="4" t="n"/>
      <c r="G30" s="4" t="n"/>
      <c r="H30" s="4" t="n"/>
    </row>
    <row r="31" ht="18" customHeight="1">
      <c r="A31" s="4" t="n"/>
      <c r="B31" s="4" t="n"/>
      <c r="C31" s="4" t="n"/>
      <c r="D31" s="4" t="n"/>
      <c r="E31" s="4" t="n"/>
      <c r="F31" s="4" t="n"/>
      <c r="G31" s="4" t="n"/>
      <c r="H31" s="4" t="n"/>
    </row>
    <row r="32" ht="18" customHeight="1">
      <c r="A32" s="4" t="n"/>
      <c r="B32" s="4" t="n"/>
      <c r="C32" s="4" t="n"/>
      <c r="D32" s="4" t="n"/>
      <c r="E32" s="4" t="n"/>
      <c r="F32" s="4" t="n"/>
      <c r="G32" s="4" t="n"/>
      <c r="H32" s="4" t="n"/>
    </row>
    <row r="33" ht="18" customHeight="1">
      <c r="A33" s="4" t="n"/>
      <c r="B33" s="4" t="n"/>
      <c r="C33" s="4" t="n"/>
      <c r="D33" s="4" t="n"/>
      <c r="E33" s="4" t="n"/>
      <c r="F33" s="4" t="n"/>
      <c r="G33" s="4" t="n"/>
      <c r="H33" s="4" t="n"/>
    </row>
    <row r="34" ht="18" customHeight="1">
      <c r="A34" s="4" t="n"/>
      <c r="B34" s="4" t="n"/>
      <c r="C34" s="4" t="n"/>
      <c r="D34" s="4" t="n"/>
      <c r="E34" s="4" t="n"/>
      <c r="F34" s="4" t="n"/>
      <c r="G34" s="4" t="n"/>
      <c r="H34" s="4" t="n"/>
    </row>
    <row r="35" ht="18" customHeight="1">
      <c r="A35" s="4" t="n"/>
      <c r="B35" s="4" t="n"/>
      <c r="C35" s="4" t="n"/>
      <c r="D35" s="4" t="n"/>
      <c r="E35" s="4" t="n"/>
      <c r="F35" s="4" t="n"/>
      <c r="G35" s="4" t="n"/>
      <c r="H35" s="4" t="n"/>
    </row>
    <row r="36" ht="18" customHeight="1">
      <c r="A36" s="4" t="n"/>
      <c r="B36" s="4" t="n"/>
      <c r="C36" s="4" t="n"/>
      <c r="D36" s="4" t="n"/>
      <c r="E36" s="4" t="n"/>
      <c r="F36" s="4" t="n"/>
      <c r="G36" s="4" t="n"/>
      <c r="H36" s="4" t="n"/>
    </row>
    <row r="37" ht="18" customHeight="1">
      <c r="A37" s="4" t="n"/>
      <c r="B37" s="4" t="n"/>
      <c r="C37" s="4" t="n"/>
      <c r="D37" s="4" t="n"/>
      <c r="E37" s="4" t="n"/>
      <c r="F37" s="4" t="n"/>
      <c r="G37" s="4" t="n"/>
      <c r="H37" s="4" t="n"/>
    </row>
    <row r="38" ht="18" customHeight="1">
      <c r="A38" s="4" t="n"/>
      <c r="B38" s="4" t="n"/>
      <c r="C38" s="4" t="n"/>
      <c r="D38" s="4" t="n"/>
      <c r="E38" s="4" t="n"/>
      <c r="F38" s="4" t="n"/>
      <c r="G38" s="4" t="n"/>
      <c r="H38" s="4" t="n"/>
    </row>
  </sheetData>
  <mergeCells count="5">
    <mergeCell ref="B3:G3"/>
    <mergeCell ref="B2:G2"/>
    <mergeCell ref="B1:D1"/>
    <mergeCell ref="B4:G4"/>
    <mergeCell ref="B21:G21"/>
  </mergeCells>
  <conditionalFormatting sqref="C15:F15">
    <cfRule type="cellIs" priority="1" operator="greaterThan" dxfId="0">
      <formula>PrimeTarget</formula>
    </cfRule>
  </conditionalFormatting>
  <conditionalFormatting sqref="C18:F18">
    <cfRule type="cellIs" priority="2" operator="greaterThan" dxfId="0">
      <formula>0</formula>
    </cfRule>
  </conditionalFormatting>
  <printOptions horizontalCentered="1"/>
  <pageMargins left="0.5" right="0.5" top="0.7" bottom="0.55" header="0.28" footer="0.28"/>
  <pageSetup orientation="landscape" paperSize="1" fitToHeight="1" fitToWidth="1"/>
  <headerFooter>
    <oddHeader>&amp;L&amp;"Calibri"&amp;8 FOURWALL  ·  MARGIN KIT</oddHeader>
    <oddFooter>&amp;L&amp;"Calibri"&amp;8 Decision tool. Not accounting. Not tax.&amp;R&amp;"Calibri"&amp;8 Page &amp;P of &amp;N</oddFooter>
    <evenHeader/>
    <evenFooter/>
    <firstHeader/>
    <firstFooter/>
  </headerFooter>
  <drawing xmlns:r="http://schemas.openxmlformats.org/officeDocument/2006/relationships" r:id="rId1"/>
</worksheet>
</file>

<file path=xl/worksheets/sheet4.xml><?xml version="1.0" encoding="utf-8"?>
<worksheet xmlns="http://schemas.openxmlformats.org/spreadsheetml/2006/main">
  <sheetPr>
    <tabColor rgb="006F6A63"/>
    <outlinePr summaryBelow="1" summaryRight="1"/>
    <pageSetUpPr fitToPage="1"/>
  </sheetPr>
  <dimension ref="A1:J34"/>
  <sheetViews>
    <sheetView showGridLines="0" zoomScale="110" workbookViewId="0">
      <pane xSplit="2" ySplit="6" topLeftCell="C7" activePane="bottomRight" state="frozen"/>
      <selection pane="topRight" activeCell="A1" sqref="A1"/>
      <selection pane="bottomLeft" activeCell="A1" sqref="A1"/>
      <selection pane="bottomRight" activeCell="A1" sqref="A1"/>
    </sheetView>
  </sheetViews>
  <sheetFormatPr baseColWidth="8" defaultRowHeight="15"/>
  <cols>
    <col width="3" customWidth="1" min="1" max="1"/>
    <col width="32" customWidth="1" min="2" max="2"/>
    <col width="18" customWidth="1" min="3" max="3"/>
    <col width="18" customWidth="1" min="4" max="4"/>
    <col width="18" customWidth="1" min="5" max="5"/>
    <col width="18" customWidth="1" min="6" max="6"/>
    <col width="40" customWidth="1" min="7" max="7"/>
    <col width="3" customWidth="1" min="8" max="8"/>
  </cols>
  <sheetData>
    <row r="1" ht="22" customHeight="1">
      <c r="A1" s="1" t="inlineStr"/>
      <c r="B1" s="2" t="inlineStr">
        <is>
          <t>FOURWALL  ·  MARGIN KIT</t>
        </is>
      </c>
      <c r="E1" s="1" t="inlineStr"/>
      <c r="F1" s="1" t="inlineStr"/>
      <c r="G1" s="1" t="inlineStr"/>
      <c r="H1" s="3" t="inlineStr">
        <is>
          <t>FOUR-WALL</t>
        </is>
      </c>
    </row>
    <row r="2" ht="22" customHeight="1">
      <c r="A2" s="4" t="n"/>
      <c r="B2" s="16" t="inlineStr">
        <is>
          <t>Four-wall  —  contribution after prime cost and occupancy</t>
        </is>
      </c>
      <c r="H2" s="4" t="n"/>
    </row>
    <row r="3" ht="20" customHeight="1">
      <c r="A3" s="4" t="n"/>
      <c r="B3" s="50">
        <f>Company&amp;"  ·  "&amp;PeriodLabel</f>
        <v/>
      </c>
      <c r="H3" s="4" t="n"/>
    </row>
    <row r="4" ht="40" customHeight="1">
      <c r="A4" s="4" t="n"/>
      <c r="B4" s="12" t="inlineStr">
        <is>
          <t>Four-wall is what the room contributed after food, beverage, in-house labor, and occupancy. It is not net profit. It ignores G&amp;A, debt, owner draw, and tax. It answers: which four walls paid you this period, and which four walls spent you. Carrying / dragging is vs the group's own four-wall percentage — not vs a national number.</t>
        </is>
      </c>
      <c r="H4" s="4" t="n"/>
    </row>
    <row r="5" ht="18" customHeight="1">
      <c r="A5" s="4" t="n"/>
      <c r="B5" s="4" t="n"/>
      <c r="C5" s="4" t="n"/>
      <c r="D5" s="4" t="n"/>
      <c r="E5" s="4" t="n"/>
      <c r="F5" s="4" t="n"/>
      <c r="G5" s="4" t="n"/>
      <c r="H5" s="4" t="n"/>
    </row>
    <row r="6" ht="22" customHeight="1">
      <c r="A6" s="4" t="n"/>
      <c r="B6" s="33" t="inlineStr"/>
      <c r="C6" s="1">
        <f>IF(Loc1Name="","",Loc1Name)</f>
        <v/>
      </c>
      <c r="D6" s="1">
        <f>IF(Loc2Name="","",Loc2Name)</f>
        <v/>
      </c>
      <c r="E6" s="1">
        <f>IF(Loc3Name="","",Loc3Name)</f>
        <v/>
      </c>
      <c r="F6" s="1" t="inlineStr">
        <is>
          <t>Group</t>
        </is>
      </c>
      <c r="G6" s="33" t="inlineStr">
        <is>
          <t>Read this</t>
        </is>
      </c>
      <c r="H6" s="4" t="n"/>
      <c r="I6" s="56" t="inlineStr">
        <is>
          <t>Room</t>
        </is>
      </c>
      <c r="J6" s="56" t="inlineStr">
        <is>
          <t>Four-wall $</t>
        </is>
      </c>
    </row>
    <row r="7" ht="22" customHeight="1">
      <c r="A7" s="4" t="n"/>
      <c r="B7" s="52" t="inlineStr">
        <is>
          <t>Sales</t>
        </is>
      </c>
      <c r="C7" s="53">
        <f>IF(Loc1Name="","",Loc1Sales)</f>
        <v/>
      </c>
      <c r="D7" s="53">
        <f>IF(Loc2Name="","",Loc2Sales)</f>
        <v/>
      </c>
      <c r="E7" s="53">
        <f>IF(Loc3Name="","",Loc3Sales)</f>
        <v/>
      </c>
      <c r="F7" s="54">
        <f>GroupSales</f>
        <v/>
      </c>
      <c r="G7" s="55" t="inlineStr"/>
      <c r="H7" s="4" t="n"/>
      <c r="I7" s="56">
        <f>IF(Loc1Name="","Location 1",Loc1Name)</f>
        <v/>
      </c>
      <c r="J7" s="72">
        <f>IF(Loc1Name="",0,Loc1Sales-(Loc1Food+Loc1Bev+Loc1Labor)-Loc1Occ)</f>
        <v/>
      </c>
    </row>
    <row r="8" ht="22" customHeight="1">
      <c r="A8" s="4" t="n"/>
      <c r="B8" s="58" t="inlineStr">
        <is>
          <t>Prime cost $</t>
        </is>
      </c>
      <c r="C8" s="59">
        <f>IF(Loc1Name="","",Loc1Food+Loc1Bev+Loc1Labor)</f>
        <v/>
      </c>
      <c r="D8" s="59">
        <f>IF(Loc2Name="","",Loc2Food+Loc2Bev+Loc2Labor)</f>
        <v/>
      </c>
      <c r="E8" s="59">
        <f>IF(Loc3Name="","",Loc3Food+Loc3Bev+Loc3Labor)</f>
        <v/>
      </c>
      <c r="F8" s="54">
        <f>GroupFood+GroupBev+GroupLabor</f>
        <v/>
      </c>
      <c r="G8" s="55" t="inlineStr">
        <is>
          <t>From Prime Cost.</t>
        </is>
      </c>
      <c r="H8" s="4" t="n"/>
      <c r="I8" s="56">
        <f>IF(Loc2Name="","Location 2",Loc2Name)</f>
        <v/>
      </c>
      <c r="J8" s="72">
        <f>IF(Loc2Name="",0,Loc2Sales-(Loc2Food+Loc2Bev+Loc2Labor)-Loc2Occ)</f>
        <v/>
      </c>
    </row>
    <row r="9" ht="22" customHeight="1">
      <c r="A9" s="4" t="n"/>
      <c r="B9" s="52" t="inlineStr">
        <is>
          <t>Occupancy $</t>
        </is>
      </c>
      <c r="C9" s="53">
        <f>IF(Loc1Name="","",Loc1Occ)</f>
        <v/>
      </c>
      <c r="D9" s="53">
        <f>IF(Loc2Name="","",Loc2Occ)</f>
        <v/>
      </c>
      <c r="E9" s="53">
        <f>IF(Loc3Name="","",Loc3Occ)</f>
        <v/>
      </c>
      <c r="F9" s="54">
        <f>GroupOcc</f>
        <v/>
      </c>
      <c r="G9" s="55" t="inlineStr">
        <is>
          <t>Rent / CAM / building.</t>
        </is>
      </c>
      <c r="H9" s="4" t="n"/>
      <c r="I9" s="56">
        <f>IF(Loc3Name="","Location 3",Loc3Name)</f>
        <v/>
      </c>
      <c r="J9" s="72">
        <f>IF(Loc3Name="",0,Loc3Sales-(Loc3Food+Loc3Bev+Loc3Labor)-Loc3Occ)</f>
        <v/>
      </c>
    </row>
    <row r="10" ht="22" customHeight="1">
      <c r="A10" s="4" t="n"/>
      <c r="B10" s="62" t="inlineStr">
        <is>
          <t>Four-wall $</t>
        </is>
      </c>
      <c r="C10" s="73">
        <f>IF(Loc1Name="","",Loc1Sales-(Loc1Food+Loc1Bev+Loc1Labor)-Loc1Occ)</f>
        <v/>
      </c>
      <c r="D10" s="73">
        <f>IF(Loc2Name="","",Loc2Sales-(Loc2Food+Loc2Bev+Loc2Labor)-Loc2Occ)</f>
        <v/>
      </c>
      <c r="E10" s="73">
        <f>IF(Loc3Name="","",Loc3Sales-(Loc3Food+Loc3Bev+Loc3Labor)-Loc3Occ)</f>
        <v/>
      </c>
      <c r="F10" s="54">
        <f>GroupSales-(GroupFood+GroupBev+GroupLabor)-GroupOcc</f>
        <v/>
      </c>
      <c r="G10" s="55" t="inlineStr">
        <is>
          <t>Sales minus prime minus occupancy.</t>
        </is>
      </c>
      <c r="H10" s="4" t="n"/>
    </row>
    <row r="11" ht="22" customHeight="1">
      <c r="A11" s="4" t="n"/>
      <c r="B11" s="64" t="inlineStr">
        <is>
          <t>Four-wall % of sales</t>
        </is>
      </c>
      <c r="C11" s="74">
        <f>IF(Loc1Name="","",IF(Loc1Sales=0,"",(Loc1Sales-(Loc1Food+Loc1Bev+Loc1Labor)-Loc1Occ)/Loc1Sales))</f>
        <v/>
      </c>
      <c r="D11" s="74">
        <f>IF(Loc2Name="","",IF(Loc2Sales=0,"",(Loc2Sales-(Loc2Food+Loc2Bev+Loc2Labor)-Loc2Occ)/Loc2Sales))</f>
        <v/>
      </c>
      <c r="E11" s="74">
        <f>IF(Loc3Name="","",IF(Loc3Sales=0,"",(Loc3Sales-(Loc3Food+Loc3Bev+Loc3Labor)-Loc3Occ)/Loc3Sales))</f>
        <v/>
      </c>
      <c r="F11" s="61">
        <f>IF(GroupSales=0,"",(GroupSales-(GroupFood+GroupBev+GroupLabor)-GroupOcc)/GroupSales)</f>
        <v/>
      </c>
      <c r="G11" s="55" t="inlineStr">
        <is>
          <t>The conversion rate of the room.</t>
        </is>
      </c>
      <c r="H11" s="4" t="n"/>
    </row>
    <row r="12" ht="22" customHeight="1">
      <c r="A12" s="4" t="n"/>
      <c r="B12" s="58" t="inlineStr">
        <is>
          <t>Share of group sales</t>
        </is>
      </c>
      <c r="C12" s="66">
        <f>IF(Loc1Name="","",IF(GroupSales=0,"",Loc1Sales/GroupSales))</f>
        <v/>
      </c>
      <c r="D12" s="66">
        <f>IF(Loc2Name="","",IF(GroupSales=0,"",Loc2Sales/GroupSales))</f>
        <v/>
      </c>
      <c r="E12" s="66">
        <f>IF(Loc3Name="","",IF(GroupSales=0,"",Loc3Sales/GroupSales))</f>
        <v/>
      </c>
      <c r="F12" s="61">
        <f>1</f>
        <v/>
      </c>
      <c r="G12" s="55" t="inlineStr"/>
      <c r="H12" s="4" t="n"/>
    </row>
    <row r="13" ht="22" customHeight="1">
      <c r="A13" s="4" t="n"/>
      <c r="B13" s="52" t="inlineStr">
        <is>
          <t>Share of group four-wall $</t>
        </is>
      </c>
      <c r="C13" s="60">
        <f>IF(Loc1Name="","",IF((GroupSales-(GroupFood+GroupBev+GroupLabor)-GroupOcc)=0,"",(Loc1Sales-(Loc1Food+Loc1Bev+Loc1Labor)-Loc1Occ)/(GroupSales-(GroupFood+GroupBev+GroupLabor)-GroupOcc)))</f>
        <v/>
      </c>
      <c r="D13" s="60">
        <f>IF(Loc2Name="","",IF((GroupSales-(GroupFood+GroupBev+GroupLabor)-GroupOcc)=0,"",(Loc2Sales-(Loc2Food+Loc2Bev+Loc2Labor)-Loc2Occ)/(GroupSales-(GroupFood+GroupBev+GroupLabor)-GroupOcc)))</f>
        <v/>
      </c>
      <c r="E13" s="60">
        <f>IF(Loc3Name="","",IF((GroupSales-(GroupFood+GroupBev+GroupLabor)-GroupOcc)=0,"",(Loc3Sales-(Loc3Food+Loc3Bev+Loc3Labor)-Loc3Occ)/(GroupSales-(GroupFood+GroupBev+GroupLabor)-GroupOcc)))</f>
        <v/>
      </c>
      <c r="F13" s="61">
        <f>1</f>
        <v/>
      </c>
      <c r="G13" s="55" t="inlineStr">
        <is>
          <t>If this is lower than sales share, the room is dragging.</t>
        </is>
      </c>
      <c r="H13" s="4" t="n"/>
    </row>
    <row r="14" ht="22" customHeight="1">
      <c r="A14" s="4" t="n"/>
      <c r="B14" s="62" t="inlineStr">
        <is>
          <t>Carrying or dragging</t>
        </is>
      </c>
      <c r="C14" s="75">
        <f>IF(Loc1Name="","",IF(OR(GroupSales=0,Loc1Sales=0),"",IF((Loc1Sales-(Loc1Food+Loc1Bev+Loc1Labor)-Loc1Occ)/Loc1Sales&gt;=(GroupSales-(GroupFood+GroupBev+GroupLabor)-GroupOcc)/GroupSales,"Carrying","Dragging")))</f>
        <v/>
      </c>
      <c r="D14" s="75">
        <f>IF(Loc2Name="","",IF(OR(GroupSales=0,Loc2Sales=0),"",IF((Loc2Sales-(Loc2Food+Loc2Bev+Loc2Labor)-Loc2Occ)/Loc2Sales&gt;=(GroupSales-(GroupFood+GroupBev+GroupLabor)-GroupOcc)/GroupSales,"Carrying","Dragging")))</f>
        <v/>
      </c>
      <c r="E14" s="75">
        <f>IF(Loc3Name="","",IF(OR(GroupSales=0,Loc3Sales=0),"",IF((Loc3Sales-(Loc3Food+Loc3Bev+Loc3Labor)-Loc3Occ)/Loc3Sales&gt;=(GroupSales-(GroupFood+GroupBev+GroupLabor)-GroupOcc)/GroupSales,"Carrying","Dragging")))</f>
        <v/>
      </c>
      <c r="F14" s="76">
        <f>"—"</f>
        <v/>
      </c>
      <c r="G14" s="55" t="inlineStr">
        <is>
          <t>Vs the group's four-wall %.</t>
        </is>
      </c>
      <c r="H14" s="4" t="n"/>
    </row>
    <row r="15" ht="22" customHeight="1">
      <c r="A15" s="4" t="n"/>
      <c r="B15" s="64" t="inlineStr">
        <is>
          <t>Dollarized vs group rate</t>
        </is>
      </c>
      <c r="C15" s="77">
        <f>IF(Loc1Name="","",IF(OR(GroupSales=0,Loc1Sales=0),"",((Loc1Sales-(Loc1Food+Loc1Bev+Loc1Labor)-Loc1Occ)/Loc1Sales-(GroupSales-(GroupFood+GroupBev+GroupLabor)-GroupOcc)/GroupSales)*Loc1Sales))</f>
        <v/>
      </c>
      <c r="D15" s="77">
        <f>IF(Loc2Name="","",IF(OR(GroupSales=0,Loc2Sales=0),"",((Loc2Sales-(Loc2Food+Loc2Bev+Loc2Labor)-Loc2Occ)/Loc2Sales-(GroupSales-(GroupFood+GroupBev+GroupLabor)-GroupOcc)/GroupSales)*Loc2Sales))</f>
        <v/>
      </c>
      <c r="E15" s="77">
        <f>IF(Loc3Name="","",IF(OR(GroupSales=0,Loc3Sales=0),"",((Loc3Sales-(Loc3Food+Loc3Bev+Loc3Labor)-Loc3Occ)/Loc3Sales-(GroupSales-(GroupFood+GroupBev+GroupLabor)-GroupOcc)/GroupSales)*Loc3Sales))</f>
        <v/>
      </c>
      <c r="F15" s="54">
        <f>0</f>
        <v/>
      </c>
      <c r="G15" s="55" t="inlineStr">
        <is>
          <t>Positive = extra four-wall vs group %. Negative = drag.</t>
        </is>
      </c>
      <c r="H15" s="4" t="n"/>
    </row>
    <row r="16" ht="18" customHeight="1">
      <c r="A16" s="4" t="n"/>
      <c r="B16" s="4" t="n"/>
      <c r="C16" s="4" t="n"/>
      <c r="D16" s="4" t="n"/>
      <c r="E16" s="4" t="n"/>
      <c r="F16" s="4" t="n"/>
      <c r="G16" s="4" t="n"/>
      <c r="H16" s="4" t="n"/>
    </row>
    <row r="17" ht="20" customHeight="1">
      <c r="A17" s="4" t="n"/>
      <c r="B17" s="36" t="inlineStr">
        <is>
          <t>IF THE DRAGGING ROOM RAN AT THE GROUP FOUR-WALL %</t>
        </is>
      </c>
      <c r="C17" s="15" t="n"/>
      <c r="D17" s="15" t="n"/>
      <c r="E17" s="15" t="n"/>
      <c r="F17" s="15" t="n"/>
      <c r="G17" s="15" t="n"/>
      <c r="H17" s="4" t="n"/>
    </row>
    <row r="18" ht="40" customHeight="1">
      <c r="A18" s="4" t="n"/>
      <c r="B18" s="78">
        <f>IF(GroupSales=0,"","Group four-wall is "&amp;TEXT((GroupSales-(GroupFood+GroupBev+GroupLabor)-GroupOcc)/GroupSales,"0.0%")&amp;" of sales, "&amp;TEXT(GroupSales-(GroupFood+GroupBev+GroupLabor)-GroupOcc,"$#,##0")&amp;" this period. "&amp;IF(Loc1Name="","","Location 1 ("&amp;Loc1Name&amp;") is "&amp;TEXT((Loc1Sales-(Loc1Food+Loc1Bev+Loc1Labor)-Loc1Occ)/Loc1Sales,"0.0%")&amp;". ")&amp;IF(Loc2Name="","","Location 2 ("&amp;Loc2Name&amp;") is "&amp;TEXT((Loc2Sales-(Loc2Food+Loc2Bev+Loc2Labor)-Loc2Occ)/Loc2Sales,"0.0%")&amp;". ")&amp;IF(Loc3Name="","","Location 3 ("&amp;Loc3Name&amp;") is "&amp;TEXT((Loc3Sales-(Loc3Food+Loc3Bev+Loc3Labor)-Loc3Occ)/Loc3Sales,"0.0%")&amp;". ")&amp;"Dollarized vs group rate is the extra (or missing) four-wall if that room had converted at the group percentage.")</f>
        <v/>
      </c>
      <c r="H18" s="4" t="n"/>
    </row>
    <row r="19" ht="18" customHeight="1">
      <c r="A19" s="4" t="n"/>
      <c r="B19" s="4" t="n"/>
      <c r="C19" s="4" t="n"/>
      <c r="D19" s="4" t="n"/>
      <c r="E19" s="4" t="n"/>
      <c r="F19" s="4" t="n"/>
      <c r="G19" s="4" t="n"/>
      <c r="H19" s="4" t="n"/>
    </row>
    <row r="20" ht="20" customHeight="1">
      <c r="A20" s="4" t="n"/>
      <c r="B20" s="52" t="inlineStr">
        <is>
          <t>Four-wall $ if this room ran at group %</t>
        </is>
      </c>
      <c r="C20" s="53">
        <f>IF(Loc1Name="","",Loc1Sales*((GroupSales-(GroupFood+GroupBev+GroupLabor)-GroupOcc)/GroupSales))</f>
        <v/>
      </c>
      <c r="D20" s="53">
        <f>IF(Loc2Name="","",Loc2Sales*((GroupSales-(GroupFood+GroupBev+GroupLabor)-GroupOcc)/GroupSales))</f>
        <v/>
      </c>
      <c r="E20" s="53">
        <f>IF(Loc3Name="","",Loc3Sales*((GroupSales-(GroupFood+GroupBev+GroupLabor)-GroupOcc)/GroupSales))</f>
        <v/>
      </c>
      <c r="F20" s="54">
        <f>GroupSales-(GroupFood+GroupBev+GroupLabor)-GroupOcc</f>
        <v/>
      </c>
      <c r="G20" s="55" t="inlineStr">
        <is>
          <t>Same group %, applied to that room's sales.</t>
        </is>
      </c>
      <c r="H20" s="4" t="n"/>
    </row>
    <row r="21" ht="20" customHeight="1">
      <c r="A21" s="4" t="n"/>
      <c r="B21" s="64" t="inlineStr">
        <is>
          <t>Gap: actual four-wall $ vs that</t>
        </is>
      </c>
      <c r="C21" s="79">
        <f>IF(Loc1Name="","",(Loc1Sales-(Loc1Food+Loc1Bev+Loc1Labor)-Loc1Occ)-Loc1Sales*((GroupSales-(GroupFood+GroupBev+GroupLabor)-GroupOcc)/GroupSales))</f>
        <v/>
      </c>
      <c r="D21" s="79">
        <f>IF(Loc2Name="","",(Loc2Sales-(Loc2Food+Loc2Bev+Loc2Labor)-Loc2Occ)-Loc2Sales*((GroupSales-(GroupFood+GroupBev+GroupLabor)-GroupOcc)/GroupSales))</f>
        <v/>
      </c>
      <c r="E21" s="79">
        <f>IF(Loc3Name="","",(Loc3Sales-(Loc3Food+Loc3Bev+Loc3Labor)-Loc3Occ)-Loc3Sales*((GroupSales-(GroupFood+GroupBev+GroupLabor)-GroupOcc)/GroupSales))</f>
        <v/>
      </c>
      <c r="F21" s="54">
        <f>0</f>
        <v/>
      </c>
      <c r="G21" s="55" t="inlineStr">
        <is>
          <t>Same dollars as row 15.</t>
        </is>
      </c>
      <c r="H21" s="4" t="n"/>
    </row>
    <row r="22" ht="18" customHeight="1">
      <c r="A22" s="4" t="n"/>
      <c r="B22" s="4" t="n"/>
      <c r="C22" s="4" t="n"/>
      <c r="D22" s="4" t="n"/>
      <c r="E22" s="4" t="n"/>
      <c r="F22" s="4" t="n"/>
      <c r="G22" s="4" t="n"/>
      <c r="H22" s="4" t="n"/>
    </row>
    <row r="23" ht="18" customHeight="1">
      <c r="A23" s="4" t="n"/>
      <c r="B23" s="4" t="n"/>
      <c r="C23" s="4" t="n"/>
      <c r="D23" s="4" t="n"/>
      <c r="E23" s="4" t="n"/>
      <c r="F23" s="4" t="n"/>
      <c r="G23" s="4" t="n"/>
      <c r="H23" s="4" t="n"/>
    </row>
    <row r="24" ht="18" customHeight="1">
      <c r="A24" s="4" t="n"/>
      <c r="B24" s="4" t="n"/>
      <c r="C24" s="4" t="n"/>
      <c r="D24" s="4" t="n"/>
      <c r="E24" s="4" t="n"/>
      <c r="F24" s="4" t="n"/>
      <c r="G24" s="4" t="n"/>
      <c r="H24" s="4" t="n"/>
    </row>
    <row r="25" ht="18" customHeight="1">
      <c r="A25" s="4" t="n"/>
      <c r="B25" s="4" t="n"/>
      <c r="C25" s="4" t="n"/>
      <c r="D25" s="4" t="n"/>
      <c r="E25" s="4" t="n"/>
      <c r="F25" s="4" t="n"/>
      <c r="G25" s="4" t="n"/>
      <c r="H25" s="4" t="n"/>
    </row>
    <row r="26" ht="18" customHeight="1">
      <c r="A26" s="4" t="n"/>
      <c r="B26" s="4" t="n"/>
      <c r="C26" s="4" t="n"/>
      <c r="D26" s="4" t="n"/>
      <c r="E26" s="4" t="n"/>
      <c r="F26" s="4" t="n"/>
      <c r="G26" s="4" t="n"/>
      <c r="H26" s="4" t="n"/>
    </row>
    <row r="27" ht="18" customHeight="1">
      <c r="A27" s="4" t="n"/>
      <c r="B27" s="4" t="n"/>
      <c r="C27" s="4" t="n"/>
      <c r="D27" s="4" t="n"/>
      <c r="E27" s="4" t="n"/>
      <c r="F27" s="4" t="n"/>
      <c r="G27" s="4" t="n"/>
      <c r="H27" s="4" t="n"/>
    </row>
    <row r="28" ht="18" customHeight="1">
      <c r="A28" s="4" t="n"/>
      <c r="B28" s="4" t="n"/>
      <c r="C28" s="4" t="n"/>
      <c r="D28" s="4" t="n"/>
      <c r="E28" s="4" t="n"/>
      <c r="F28" s="4" t="n"/>
      <c r="G28" s="4" t="n"/>
      <c r="H28" s="4" t="n"/>
    </row>
    <row r="29" ht="18" customHeight="1">
      <c r="A29" s="4" t="n"/>
      <c r="B29" s="4" t="n"/>
      <c r="C29" s="4" t="n"/>
      <c r="D29" s="4" t="n"/>
      <c r="E29" s="4" t="n"/>
      <c r="F29" s="4" t="n"/>
      <c r="G29" s="4" t="n"/>
      <c r="H29" s="4" t="n"/>
    </row>
    <row r="30" ht="18" customHeight="1">
      <c r="A30" s="4" t="n"/>
      <c r="B30" s="4" t="n"/>
      <c r="C30" s="4" t="n"/>
      <c r="D30" s="4" t="n"/>
      <c r="E30" s="4" t="n"/>
      <c r="F30" s="4" t="n"/>
      <c r="G30" s="4" t="n"/>
      <c r="H30" s="4" t="n"/>
    </row>
    <row r="31" ht="18" customHeight="1">
      <c r="A31" s="4" t="n"/>
      <c r="B31" s="4" t="n"/>
      <c r="C31" s="4" t="n"/>
      <c r="D31" s="4" t="n"/>
      <c r="E31" s="4" t="n"/>
      <c r="F31" s="4" t="n"/>
      <c r="G31" s="4" t="n"/>
      <c r="H31" s="4" t="n"/>
    </row>
    <row r="32" ht="18" customHeight="1">
      <c r="A32" s="4" t="n"/>
      <c r="B32" s="4" t="n"/>
      <c r="C32" s="4" t="n"/>
      <c r="D32" s="4" t="n"/>
      <c r="E32" s="4" t="n"/>
      <c r="F32" s="4" t="n"/>
      <c r="G32" s="4" t="n"/>
      <c r="H32" s="4" t="n"/>
    </row>
    <row r="33" ht="18" customHeight="1">
      <c r="A33" s="4" t="n"/>
      <c r="B33" s="4" t="n"/>
      <c r="C33" s="4" t="n"/>
      <c r="D33" s="4" t="n"/>
      <c r="E33" s="4" t="n"/>
      <c r="F33" s="4" t="n"/>
      <c r="G33" s="4" t="n"/>
      <c r="H33" s="4" t="n"/>
    </row>
    <row r="34" ht="18" customHeight="1">
      <c r="A34" s="4" t="n"/>
      <c r="B34" s="4" t="n"/>
      <c r="C34" s="4" t="n"/>
      <c r="D34" s="4" t="n"/>
      <c r="E34" s="4" t="n"/>
      <c r="F34" s="4" t="n"/>
      <c r="G34" s="4" t="n"/>
      <c r="H34" s="4" t="n"/>
    </row>
  </sheetData>
  <mergeCells count="6">
    <mergeCell ref="B3:G3"/>
    <mergeCell ref="B2:G2"/>
    <mergeCell ref="B1:D1"/>
    <mergeCell ref="B17:G17"/>
    <mergeCell ref="B4:G4"/>
    <mergeCell ref="B18:G18"/>
  </mergeCells>
  <conditionalFormatting sqref="C14:E14">
    <cfRule type="expression" priority="1" dxfId="1">
      <formula>C14="Dragging"</formula>
    </cfRule>
  </conditionalFormatting>
  <conditionalFormatting sqref="C15:E15">
    <cfRule type="cellIs" priority="2" operator="lessThan" dxfId="1">
      <formula>0</formula>
    </cfRule>
  </conditionalFormatting>
  <printOptions horizontalCentered="1"/>
  <pageMargins left="0.5" right="0.5" top="0.7" bottom="0.55" header="0.28" footer="0.28"/>
  <pageSetup orientation="landscape" paperSize="1" fitToHeight="1" fitToWidth="1"/>
  <headerFooter>
    <oddHeader>&amp;L&amp;"Calibri"&amp;8 FOURWALL  ·  MARGIN KIT</oddHeader>
    <oddFooter>&amp;L&amp;"Calibri"&amp;8 Decision tool. Not accounting. Not tax.&amp;R&amp;"Calibri"&amp;8 Page &amp;P of &amp;N</oddFooter>
    <evenHeader/>
    <evenFooter/>
    <firstHeader/>
    <firstFooter/>
  </headerFooter>
  <drawing xmlns:r="http://schemas.openxmlformats.org/officeDocument/2006/relationships" r:id="rId1"/>
</worksheet>
</file>

<file path=xl/worksheets/sheet5.xml><?xml version="1.0" encoding="utf-8"?>
<worksheet xmlns="http://schemas.openxmlformats.org/spreadsheetml/2006/main">
  <sheetPr>
    <tabColor rgb="006F6A63"/>
    <outlinePr summaryBelow="1" summaryRight="1"/>
    <pageSetUpPr fitToPage="1"/>
  </sheetPr>
  <dimension ref="A1:N30"/>
  <sheetViews>
    <sheetView showGridLines="0" zoomScale="110" workbookViewId="0">
      <pane xSplit="3" ySplit="6" topLeftCell="D7" activePane="bottomRight" state="frozen"/>
      <selection pane="topRight" activeCell="A1" sqref="A1"/>
      <selection pane="bottomLeft" activeCell="A1" sqref="A1"/>
      <selection pane="bottomRight" activeCell="A1" sqref="A1"/>
    </sheetView>
  </sheetViews>
  <sheetFormatPr baseColWidth="8" defaultRowHeight="15"/>
  <cols>
    <col width="3" customWidth="1" min="1" max="1"/>
    <col width="5" customWidth="1" min="2" max="2"/>
    <col width="24" customWidth="1" min="3" max="3"/>
    <col width="12" customWidth="1" min="4" max="4"/>
    <col width="13" customWidth="1" min="5" max="5"/>
    <col width="13" customWidth="1" min="6" max="6"/>
    <col width="13" customWidth="1" min="7" max="7"/>
    <col width="12" customWidth="1" min="8" max="8"/>
    <col width="14" customWidth="1" min="9" max="9"/>
    <col width="12" customWidth="1" min="10" max="10"/>
    <col width="14" customWidth="1" min="11" max="11"/>
    <col width="14" customWidth="1" min="12" max="12"/>
    <col width="42" customWidth="1" min="13" max="13"/>
    <col width="3" customWidth="1" min="14" max="14"/>
  </cols>
  <sheetData>
    <row r="1" ht="22" customHeight="1">
      <c r="A1" s="1" t="inlineStr"/>
      <c r="B1" s="2" t="inlineStr">
        <is>
          <t>FOURWALL  ·  MARGIN KIT</t>
        </is>
      </c>
      <c r="E1" s="1" t="inlineStr"/>
      <c r="F1" s="1" t="inlineStr"/>
      <c r="G1" s="1" t="inlineStr"/>
      <c r="H1" s="1" t="inlineStr"/>
      <c r="I1" s="1" t="inlineStr"/>
      <c r="J1" s="1" t="inlineStr"/>
      <c r="K1" s="1" t="inlineStr"/>
      <c r="L1" s="1" t="inlineStr"/>
      <c r="M1" s="1" t="inlineStr"/>
      <c r="N1" s="3" t="inlineStr">
        <is>
          <t>MENU MIX</t>
        </is>
      </c>
    </row>
    <row r="2" ht="22" customHeight="1">
      <c r="A2" s="4" t="n"/>
      <c r="B2" s="16" t="inlineStr">
        <is>
          <t>Menu mix  —  12 items. Replace the samples with yours.</t>
        </is>
      </c>
      <c r="N2" s="4" t="n"/>
    </row>
    <row r="3" ht="20" customHeight="1">
      <c r="A3" s="4" t="n"/>
      <c r="B3" s="50">
        <f>Company&amp;"  ·  "&amp;PeriodLabel&amp;"  ·  pick one room or the group — stay in one lane."</f>
        <v/>
      </c>
      <c r="N3" s="4" t="n"/>
    </row>
    <row r="4" ht="48" customHeight="1">
      <c r="A4" s="4" t="n"/>
      <c r="B4" s="12" t="inlineStr">
        <is>
          <t>Class uses contribution margin % vs the average of the items you list, and weekly units vs the average of those items. Star = above-average plate margin % and above-average units. Plowhorse = sells, margin % below average. Puzzle = strong margin %, does not sell. Dog = below-average margin % and below-average units. A Dog with a fat dollar-per-plate (a steak) is not an automatic 86. Read column G before you cut. This is not a full menu-engineering study. It is a 12-line argument starter.</t>
        </is>
      </c>
      <c r="N4" s="4" t="n"/>
    </row>
    <row r="5" ht="18" customHeight="1">
      <c r="A5" s="4" t="n"/>
      <c r="B5" s="4" t="n"/>
      <c r="C5" s="4" t="n"/>
      <c r="D5" s="4" t="n"/>
      <c r="E5" s="4" t="n"/>
      <c r="F5" s="4" t="n"/>
      <c r="G5" s="4" t="n"/>
      <c r="H5" s="4" t="n"/>
      <c r="I5" s="4" t="n"/>
      <c r="J5" s="4" t="n"/>
      <c r="K5" s="4" t="n"/>
      <c r="L5" s="4" t="n"/>
      <c r="M5" s="4" t="n"/>
      <c r="N5" s="4" t="n"/>
    </row>
    <row r="6" ht="22" customHeight="1">
      <c r="A6" s="4" t="n"/>
      <c r="B6" s="80" t="inlineStr">
        <is>
          <t>#</t>
        </is>
      </c>
      <c r="C6" s="80" t="inlineStr">
        <is>
          <t>Item  (sand = type)</t>
        </is>
      </c>
      <c r="D6" s="80" t="inlineStr">
        <is>
          <t>Price</t>
        </is>
      </c>
      <c r="E6" s="80" t="inlineStr">
        <is>
          <t>Plate cost</t>
        </is>
      </c>
      <c r="F6" s="80" t="inlineStr">
        <is>
          <t>Weekly units</t>
        </is>
      </c>
      <c r="G6" s="80" t="inlineStr">
        <is>
          <t>CM $/plate</t>
        </is>
      </c>
      <c r="H6" s="80" t="inlineStr">
        <is>
          <t>CM %</t>
        </is>
      </c>
      <c r="I6" s="80" t="inlineStr">
        <is>
          <t>Weekly CM $</t>
        </is>
      </c>
      <c r="J6" s="80" t="inlineStr">
        <is>
          <t>Unit mix %</t>
        </is>
      </c>
      <c r="K6" s="80" t="inlineStr">
        <is>
          <t>Weekly sales $</t>
        </is>
      </c>
      <c r="L6" s="80" t="inlineStr">
        <is>
          <t>Class</t>
        </is>
      </c>
      <c r="M6" s="80" t="inlineStr">
        <is>
          <t>Why</t>
        </is>
      </c>
      <c r="N6" s="4" t="n"/>
    </row>
    <row r="7" ht="20" customHeight="1">
      <c r="A7" s="4" t="n"/>
      <c r="B7" s="81" t="n">
        <v>1</v>
      </c>
      <c r="C7" s="18" t="inlineStr">
        <is>
          <t>Harbor Burger</t>
        </is>
      </c>
      <c r="D7" s="82" t="n">
        <v>16</v>
      </c>
      <c r="E7" s="82" t="n">
        <v>5.6</v>
      </c>
      <c r="F7" s="20" t="n">
        <v>218</v>
      </c>
      <c r="G7" s="83">
        <f>IF(C7="","",D7-E7)</f>
        <v/>
      </c>
      <c r="H7" s="60">
        <f>IF(OR(C7="",D7="",D7=0),"",(D7-E7)/D7)</f>
        <v/>
      </c>
      <c r="I7" s="53">
        <f>IF(C7="","",(D7-E7)*N(F7))</f>
        <v/>
      </c>
      <c r="J7" s="60">
        <f>IF(C7="","",IF(SUMIF($C$7:$C$18,"&lt;&gt;",$F$7:$F$18)=0,"",F7/SUMIF($C$7:$C$18,"&lt;&gt;",$F$7:$F$18)))</f>
        <v/>
      </c>
      <c r="K7" s="53">
        <f>IF(C7="","",D7*N(F7))</f>
        <v/>
      </c>
      <c r="L7" s="84">
        <f>IF(C7="","",IF(AND(H7&gt;=AVERAGEIF($C$7:$C$18,"&lt;&gt;",$H$7:$H$18),F7&gt;=AVERAGEIF($C$7:$C$18,"&lt;&gt;",$F$7:$F$18)),"Star",IF(AND(H7&lt;AVERAGEIF($C$7:$C$18,"&lt;&gt;",$H$7:$H$18),F7&gt;=AVERAGEIF($C$7:$C$18,"&lt;&gt;",$F$7:$F$18)),"Plowhorse",IF(AND(H7&gt;=AVERAGEIF($C$7:$C$18,"&lt;&gt;",$H$7:$H$18),F7&lt;AVERAGEIF($C$7:$C$18,"&lt;&gt;",$F$7:$F$18)),"Puzzle","Dog"))))</f>
        <v/>
      </c>
      <c r="M7" s="55">
        <f>IF(C7="","",IF(L7="Star","High margin %, high volume — protect it.",IF(L7="Plowhorse","Pays the rent on volume. Nudge price or plate cost before you 86 it.",IF(L7="Puzzle","Margin is there. The room is not selling it.","Low mix and below-average margin %. Check CM $/plate before you cut."))))</f>
        <v/>
      </c>
      <c r="N7" s="4" t="n"/>
    </row>
    <row r="8" ht="20" customHeight="1">
      <c r="A8" s="4" t="n"/>
      <c r="B8" s="81" t="n">
        <v>2</v>
      </c>
      <c r="C8" s="18" t="inlineStr">
        <is>
          <t>Double Smash</t>
        </is>
      </c>
      <c r="D8" s="82" t="n">
        <v>18</v>
      </c>
      <c r="E8" s="82" t="n">
        <v>7.4</v>
      </c>
      <c r="F8" s="20" t="n">
        <v>102</v>
      </c>
      <c r="G8" s="83">
        <f>IF(C8="","",D8-E8)</f>
        <v/>
      </c>
      <c r="H8" s="60">
        <f>IF(OR(C8="",D8="",D8=0),"",(D8-E8)/D8)</f>
        <v/>
      </c>
      <c r="I8" s="53">
        <f>IF(C8="","",(D8-E8)*N(F8))</f>
        <v/>
      </c>
      <c r="J8" s="60">
        <f>IF(C8="","",IF(SUMIF($C$7:$C$18,"&lt;&gt;",$F$7:$F$18)=0,"",F8/SUMIF($C$7:$C$18,"&lt;&gt;",$F$7:$F$18)))</f>
        <v/>
      </c>
      <c r="K8" s="53">
        <f>IF(C8="","",D8*N(F8))</f>
        <v/>
      </c>
      <c r="L8" s="84">
        <f>IF(C8="","",IF(AND(H8&gt;=AVERAGEIF($C$7:$C$18,"&lt;&gt;",$H$7:$H$18),F8&gt;=AVERAGEIF($C$7:$C$18,"&lt;&gt;",$F$7:$F$18)),"Star",IF(AND(H8&lt;AVERAGEIF($C$7:$C$18,"&lt;&gt;",$H$7:$H$18),F8&gt;=AVERAGEIF($C$7:$C$18,"&lt;&gt;",$F$7:$F$18)),"Plowhorse",IF(AND(H8&gt;=AVERAGEIF($C$7:$C$18,"&lt;&gt;",$H$7:$H$18),F8&lt;AVERAGEIF($C$7:$C$18,"&lt;&gt;",$F$7:$F$18)),"Puzzle","Dog"))))</f>
        <v/>
      </c>
      <c r="M8" s="55">
        <f>IF(C8="","",IF(L8="Star","High margin %, high volume — protect it.",IF(L8="Plowhorse","Pays the rent on volume. Nudge price or plate cost before you 86 it.",IF(L8="Puzzle","Margin is there. The room is not selling it.","Low mix and below-average margin %. Check CM $/plate before you cut."))))</f>
        <v/>
      </c>
      <c r="N8" s="4" t="n"/>
    </row>
    <row r="9" ht="20" customHeight="1">
      <c r="A9" s="4" t="n"/>
      <c r="B9" s="81" t="n">
        <v>3</v>
      </c>
      <c r="C9" s="18" t="inlineStr">
        <is>
          <t>Ribeye 14oz</t>
        </is>
      </c>
      <c r="D9" s="82" t="n">
        <v>44</v>
      </c>
      <c r="E9" s="82" t="n">
        <v>21.5</v>
      </c>
      <c r="F9" s="20" t="n">
        <v>26</v>
      </c>
      <c r="G9" s="83">
        <f>IF(C9="","",D9-E9)</f>
        <v/>
      </c>
      <c r="H9" s="60">
        <f>IF(OR(C9="",D9="",D9=0),"",(D9-E9)/D9)</f>
        <v/>
      </c>
      <c r="I9" s="53">
        <f>IF(C9="","",(D9-E9)*N(F9))</f>
        <v/>
      </c>
      <c r="J9" s="60">
        <f>IF(C9="","",IF(SUMIF($C$7:$C$18,"&lt;&gt;",$F$7:$F$18)=0,"",F9/SUMIF($C$7:$C$18,"&lt;&gt;",$F$7:$F$18)))</f>
        <v/>
      </c>
      <c r="K9" s="53">
        <f>IF(C9="","",D9*N(F9))</f>
        <v/>
      </c>
      <c r="L9" s="84">
        <f>IF(C9="","",IF(AND(H9&gt;=AVERAGEIF($C$7:$C$18,"&lt;&gt;",$H$7:$H$18),F9&gt;=AVERAGEIF($C$7:$C$18,"&lt;&gt;",$F$7:$F$18)),"Star",IF(AND(H9&lt;AVERAGEIF($C$7:$C$18,"&lt;&gt;",$H$7:$H$18),F9&gt;=AVERAGEIF($C$7:$C$18,"&lt;&gt;",$F$7:$F$18)),"Plowhorse",IF(AND(H9&gt;=AVERAGEIF($C$7:$C$18,"&lt;&gt;",$H$7:$H$18),F9&lt;AVERAGEIF($C$7:$C$18,"&lt;&gt;",$F$7:$F$18)),"Puzzle","Dog"))))</f>
        <v/>
      </c>
      <c r="M9" s="55">
        <f>IF(C9="","",IF(L9="Star","High margin %, high volume — protect it.",IF(L9="Plowhorse","Pays the rent on volume. Nudge price or plate cost before you 86 it.",IF(L9="Puzzle","Margin is there. The room is not selling it.","Low mix and below-average margin %. Check CM $/plate before you cut."))))</f>
        <v/>
      </c>
      <c r="N9" s="4" t="n"/>
    </row>
    <row r="10" ht="20" customHeight="1">
      <c r="A10" s="4" t="n"/>
      <c r="B10" s="81" t="n">
        <v>4</v>
      </c>
      <c r="C10" s="18" t="inlineStr">
        <is>
          <t>Roast Chicken</t>
        </is>
      </c>
      <c r="D10" s="82" t="n">
        <v>27</v>
      </c>
      <c r="E10" s="82" t="n">
        <v>7.8</v>
      </c>
      <c r="F10" s="20" t="n">
        <v>68</v>
      </c>
      <c r="G10" s="83">
        <f>IF(C10="","",D10-E10)</f>
        <v/>
      </c>
      <c r="H10" s="60">
        <f>IF(OR(C10="",D10="",D10=0),"",(D10-E10)/D10)</f>
        <v/>
      </c>
      <c r="I10" s="53">
        <f>IF(C10="","",(D10-E10)*N(F10))</f>
        <v/>
      </c>
      <c r="J10" s="60">
        <f>IF(C10="","",IF(SUMIF($C$7:$C$18,"&lt;&gt;",$F$7:$F$18)=0,"",F10/SUMIF($C$7:$C$18,"&lt;&gt;",$F$7:$F$18)))</f>
        <v/>
      </c>
      <c r="K10" s="53">
        <f>IF(C10="","",D10*N(F10))</f>
        <v/>
      </c>
      <c r="L10" s="84">
        <f>IF(C10="","",IF(AND(H10&gt;=AVERAGEIF($C$7:$C$18,"&lt;&gt;",$H$7:$H$18),F10&gt;=AVERAGEIF($C$7:$C$18,"&lt;&gt;",$F$7:$F$18)),"Star",IF(AND(H10&lt;AVERAGEIF($C$7:$C$18,"&lt;&gt;",$H$7:$H$18),F10&gt;=AVERAGEIF($C$7:$C$18,"&lt;&gt;",$F$7:$F$18)),"Plowhorse",IF(AND(H10&gt;=AVERAGEIF($C$7:$C$18,"&lt;&gt;",$H$7:$H$18),F10&lt;AVERAGEIF($C$7:$C$18,"&lt;&gt;",$F$7:$F$18)),"Puzzle","Dog"))))</f>
        <v/>
      </c>
      <c r="M10" s="55">
        <f>IF(C10="","",IF(L10="Star","High margin %, high volume — protect it.",IF(L10="Plowhorse","Pays the rent on volume. Nudge price or plate cost before you 86 it.",IF(L10="Puzzle","Margin is there. The room is not selling it.","Low mix and below-average margin %. Check CM $/plate before you cut."))))</f>
        <v/>
      </c>
      <c r="N10" s="4" t="n"/>
    </row>
    <row r="11" ht="20" customHeight="1">
      <c r="A11" s="4" t="n"/>
      <c r="B11" s="81" t="n">
        <v>5</v>
      </c>
      <c r="C11" s="18" t="inlineStr">
        <is>
          <t>Pan Salmon</t>
        </is>
      </c>
      <c r="D11" s="82" t="n">
        <v>31</v>
      </c>
      <c r="E11" s="82" t="n">
        <v>14.2</v>
      </c>
      <c r="F11" s="20" t="n">
        <v>38</v>
      </c>
      <c r="G11" s="83">
        <f>IF(C11="","",D11-E11)</f>
        <v/>
      </c>
      <c r="H11" s="60">
        <f>IF(OR(C11="",D11="",D11=0),"",(D11-E11)/D11)</f>
        <v/>
      </c>
      <c r="I11" s="53">
        <f>IF(C11="","",(D11-E11)*N(F11))</f>
        <v/>
      </c>
      <c r="J11" s="60">
        <f>IF(C11="","",IF(SUMIF($C$7:$C$18,"&lt;&gt;",$F$7:$F$18)=0,"",F11/SUMIF($C$7:$C$18,"&lt;&gt;",$F$7:$F$18)))</f>
        <v/>
      </c>
      <c r="K11" s="53">
        <f>IF(C11="","",D11*N(F11))</f>
        <v/>
      </c>
      <c r="L11" s="84">
        <f>IF(C11="","",IF(AND(H11&gt;=AVERAGEIF($C$7:$C$18,"&lt;&gt;",$H$7:$H$18),F11&gt;=AVERAGEIF($C$7:$C$18,"&lt;&gt;",$F$7:$F$18)),"Star",IF(AND(H11&lt;AVERAGEIF($C$7:$C$18,"&lt;&gt;",$H$7:$H$18),F11&gt;=AVERAGEIF($C$7:$C$18,"&lt;&gt;",$F$7:$F$18)),"Plowhorse",IF(AND(H11&gt;=AVERAGEIF($C$7:$C$18,"&lt;&gt;",$H$7:$H$18),F11&lt;AVERAGEIF($C$7:$C$18,"&lt;&gt;",$F$7:$F$18)),"Puzzle","Dog"))))</f>
        <v/>
      </c>
      <c r="M11" s="55">
        <f>IF(C11="","",IF(L11="Star","High margin %, high volume — protect it.",IF(L11="Plowhorse","Pays the rent on volume. Nudge price or plate cost before you 86 it.",IF(L11="Puzzle","Margin is there. The room is not selling it.","Low mix and below-average margin %. Check CM $/plate before you cut."))))</f>
        <v/>
      </c>
      <c r="N11" s="4" t="n"/>
    </row>
    <row r="12" ht="20" customHeight="1">
      <c r="A12" s="4" t="n"/>
      <c r="B12" s="81" t="n">
        <v>6</v>
      </c>
      <c r="C12" s="18" t="inlineStr">
        <is>
          <t>Chopped Caesar</t>
        </is>
      </c>
      <c r="D12" s="82" t="n">
        <v>14</v>
      </c>
      <c r="E12" s="82" t="n">
        <v>2.8</v>
      </c>
      <c r="F12" s="20" t="n">
        <v>118</v>
      </c>
      <c r="G12" s="83">
        <f>IF(C12="","",D12-E12)</f>
        <v/>
      </c>
      <c r="H12" s="60">
        <f>IF(OR(C12="",D12="",D12=0),"",(D12-E12)/D12)</f>
        <v/>
      </c>
      <c r="I12" s="53">
        <f>IF(C12="","",(D12-E12)*N(F12))</f>
        <v/>
      </c>
      <c r="J12" s="60">
        <f>IF(C12="","",IF(SUMIF($C$7:$C$18,"&lt;&gt;",$F$7:$F$18)=0,"",F12/SUMIF($C$7:$C$18,"&lt;&gt;",$F$7:$F$18)))</f>
        <v/>
      </c>
      <c r="K12" s="53">
        <f>IF(C12="","",D12*N(F12))</f>
        <v/>
      </c>
      <c r="L12" s="84">
        <f>IF(C12="","",IF(AND(H12&gt;=AVERAGEIF($C$7:$C$18,"&lt;&gt;",$H$7:$H$18),F12&gt;=AVERAGEIF($C$7:$C$18,"&lt;&gt;",$F$7:$F$18)),"Star",IF(AND(H12&lt;AVERAGEIF($C$7:$C$18,"&lt;&gt;",$H$7:$H$18),F12&gt;=AVERAGEIF($C$7:$C$18,"&lt;&gt;",$F$7:$F$18)),"Plowhorse",IF(AND(H12&gt;=AVERAGEIF($C$7:$C$18,"&lt;&gt;",$H$7:$H$18),F12&lt;AVERAGEIF($C$7:$C$18,"&lt;&gt;",$F$7:$F$18)),"Puzzle","Dog"))))</f>
        <v/>
      </c>
      <c r="M12" s="55">
        <f>IF(C12="","",IF(L12="Star","High margin %, high volume — protect it.",IF(L12="Plowhorse","Pays the rent on volume. Nudge price or plate cost before you 86 it.",IF(L12="Puzzle","Margin is there. The room is not selling it.","Low mix and below-average margin %. Check CM $/plate before you cut."))))</f>
        <v/>
      </c>
      <c r="N12" s="4" t="n"/>
    </row>
    <row r="13" ht="20" customHeight="1">
      <c r="A13" s="4" t="n"/>
      <c r="B13" s="81" t="n">
        <v>7</v>
      </c>
      <c r="C13" s="18" t="inlineStr">
        <is>
          <t>Fried Calamari</t>
        </is>
      </c>
      <c r="D13" s="82" t="n">
        <v>16</v>
      </c>
      <c r="E13" s="82" t="n">
        <v>5.6</v>
      </c>
      <c r="F13" s="20" t="n">
        <v>58</v>
      </c>
      <c r="G13" s="83">
        <f>IF(C13="","",D13-E13)</f>
        <v/>
      </c>
      <c r="H13" s="60">
        <f>IF(OR(C13="",D13="",D13=0),"",(D13-E13)/D13)</f>
        <v/>
      </c>
      <c r="I13" s="53">
        <f>IF(C13="","",(D13-E13)*N(F13))</f>
        <v/>
      </c>
      <c r="J13" s="60">
        <f>IF(C13="","",IF(SUMIF($C$7:$C$18,"&lt;&gt;",$F$7:$F$18)=0,"",F13/SUMIF($C$7:$C$18,"&lt;&gt;",$F$7:$F$18)))</f>
        <v/>
      </c>
      <c r="K13" s="53">
        <f>IF(C13="","",D13*N(F13))</f>
        <v/>
      </c>
      <c r="L13" s="84">
        <f>IF(C13="","",IF(AND(H13&gt;=AVERAGEIF($C$7:$C$18,"&lt;&gt;",$H$7:$H$18),F13&gt;=AVERAGEIF($C$7:$C$18,"&lt;&gt;",$F$7:$F$18)),"Star",IF(AND(H13&lt;AVERAGEIF($C$7:$C$18,"&lt;&gt;",$H$7:$H$18),F13&gt;=AVERAGEIF($C$7:$C$18,"&lt;&gt;",$F$7:$F$18)),"Plowhorse",IF(AND(H13&gt;=AVERAGEIF($C$7:$C$18,"&lt;&gt;",$H$7:$H$18),F13&lt;AVERAGEIF($C$7:$C$18,"&lt;&gt;",$F$7:$F$18)),"Puzzle","Dog"))))</f>
        <v/>
      </c>
      <c r="M13" s="55">
        <f>IF(C13="","",IF(L13="Star","High margin %, high volume — protect it.",IF(L13="Plowhorse","Pays the rent on volume. Nudge price or plate cost before you 86 it.",IF(L13="Puzzle","Margin is there. The room is not selling it.","Low mix and below-average margin %. Check CM $/plate before you cut."))))</f>
        <v/>
      </c>
      <c r="N13" s="4" t="n"/>
    </row>
    <row r="14" ht="20" customHeight="1">
      <c r="A14" s="4" t="n"/>
      <c r="B14" s="81" t="n">
        <v>8</v>
      </c>
      <c r="C14" s="18" t="inlineStr">
        <is>
          <t>Pasta Bolognese</t>
        </is>
      </c>
      <c r="D14" s="82" t="n">
        <v>22</v>
      </c>
      <c r="E14" s="82" t="n">
        <v>4.4</v>
      </c>
      <c r="F14" s="20" t="n">
        <v>96</v>
      </c>
      <c r="G14" s="83">
        <f>IF(C14="","",D14-E14)</f>
        <v/>
      </c>
      <c r="H14" s="60">
        <f>IF(OR(C14="",D14="",D14=0),"",(D14-E14)/D14)</f>
        <v/>
      </c>
      <c r="I14" s="53">
        <f>IF(C14="","",(D14-E14)*N(F14))</f>
        <v/>
      </c>
      <c r="J14" s="60">
        <f>IF(C14="","",IF(SUMIF($C$7:$C$18,"&lt;&gt;",$F$7:$F$18)=0,"",F14/SUMIF($C$7:$C$18,"&lt;&gt;",$F$7:$F$18)))</f>
        <v/>
      </c>
      <c r="K14" s="53">
        <f>IF(C14="","",D14*N(F14))</f>
        <v/>
      </c>
      <c r="L14" s="84">
        <f>IF(C14="","",IF(AND(H14&gt;=AVERAGEIF($C$7:$C$18,"&lt;&gt;",$H$7:$H$18),F14&gt;=AVERAGEIF($C$7:$C$18,"&lt;&gt;",$F$7:$F$18)),"Star",IF(AND(H14&lt;AVERAGEIF($C$7:$C$18,"&lt;&gt;",$H$7:$H$18),F14&gt;=AVERAGEIF($C$7:$C$18,"&lt;&gt;",$F$7:$F$18)),"Plowhorse",IF(AND(H14&gt;=AVERAGEIF($C$7:$C$18,"&lt;&gt;",$H$7:$H$18),F14&lt;AVERAGEIF($C$7:$C$18,"&lt;&gt;",$F$7:$F$18)),"Puzzle","Dog"))))</f>
        <v/>
      </c>
      <c r="M14" s="55">
        <f>IF(C14="","",IF(L14="Star","High margin %, high volume — protect it.",IF(L14="Plowhorse","Pays the rent on volume. Nudge price or plate cost before you 86 it.",IF(L14="Puzzle","Margin is there. The room is not selling it.","Low mix and below-average margin %. Check CM $/plate before you cut."))))</f>
        <v/>
      </c>
      <c r="N14" s="4" t="n"/>
    </row>
    <row r="15" ht="20" customHeight="1">
      <c r="A15" s="4" t="n"/>
      <c r="B15" s="81" t="n">
        <v>9</v>
      </c>
      <c r="C15" s="18" t="inlineStr">
        <is>
          <t>Kids Mac</t>
        </is>
      </c>
      <c r="D15" s="82" t="n">
        <v>9</v>
      </c>
      <c r="E15" s="82" t="n">
        <v>1.9</v>
      </c>
      <c r="F15" s="20" t="n">
        <v>34</v>
      </c>
      <c r="G15" s="83">
        <f>IF(C15="","",D15-E15)</f>
        <v/>
      </c>
      <c r="H15" s="60">
        <f>IF(OR(C15="",D15="",D15=0),"",(D15-E15)/D15)</f>
        <v/>
      </c>
      <c r="I15" s="53">
        <f>IF(C15="","",(D15-E15)*N(F15))</f>
        <v/>
      </c>
      <c r="J15" s="60">
        <f>IF(C15="","",IF(SUMIF($C$7:$C$18,"&lt;&gt;",$F$7:$F$18)=0,"",F15/SUMIF($C$7:$C$18,"&lt;&gt;",$F$7:$F$18)))</f>
        <v/>
      </c>
      <c r="K15" s="53">
        <f>IF(C15="","",D15*N(F15))</f>
        <v/>
      </c>
      <c r="L15" s="84">
        <f>IF(C15="","",IF(AND(H15&gt;=AVERAGEIF($C$7:$C$18,"&lt;&gt;",$H$7:$H$18),F15&gt;=AVERAGEIF($C$7:$C$18,"&lt;&gt;",$F$7:$F$18)),"Star",IF(AND(H15&lt;AVERAGEIF($C$7:$C$18,"&lt;&gt;",$H$7:$H$18),F15&gt;=AVERAGEIF($C$7:$C$18,"&lt;&gt;",$F$7:$F$18)),"Plowhorse",IF(AND(H15&gt;=AVERAGEIF($C$7:$C$18,"&lt;&gt;",$H$7:$H$18),F15&lt;AVERAGEIF($C$7:$C$18,"&lt;&gt;",$F$7:$F$18)),"Puzzle","Dog"))))</f>
        <v/>
      </c>
      <c r="M15" s="55">
        <f>IF(C15="","",IF(L15="Star","High margin %, high volume — protect it.",IF(L15="Plowhorse","Pays the rent on volume. Nudge price or plate cost before you 86 it.",IF(L15="Puzzle","Margin is there. The room is not selling it.","Low mix and below-average margin %. Check CM $/plate before you cut."))))</f>
        <v/>
      </c>
      <c r="N15" s="4" t="n"/>
    </row>
    <row r="16" ht="20" customHeight="1">
      <c r="A16" s="4" t="n"/>
      <c r="B16" s="81" t="n">
        <v>10</v>
      </c>
      <c r="C16" s="18" t="inlineStr">
        <is>
          <t>Lava Cake</t>
        </is>
      </c>
      <c r="D16" s="82" t="n">
        <v>11</v>
      </c>
      <c r="E16" s="82" t="n">
        <v>2.2</v>
      </c>
      <c r="F16" s="20" t="n">
        <v>52</v>
      </c>
      <c r="G16" s="83">
        <f>IF(C16="","",D16-E16)</f>
        <v/>
      </c>
      <c r="H16" s="60">
        <f>IF(OR(C16="",D16="",D16=0),"",(D16-E16)/D16)</f>
        <v/>
      </c>
      <c r="I16" s="53">
        <f>IF(C16="","",(D16-E16)*N(F16))</f>
        <v/>
      </c>
      <c r="J16" s="60">
        <f>IF(C16="","",IF(SUMIF($C$7:$C$18,"&lt;&gt;",$F$7:$F$18)=0,"",F16/SUMIF($C$7:$C$18,"&lt;&gt;",$F$7:$F$18)))</f>
        <v/>
      </c>
      <c r="K16" s="53">
        <f>IF(C16="","",D16*N(F16))</f>
        <v/>
      </c>
      <c r="L16" s="84">
        <f>IF(C16="","",IF(AND(H16&gt;=AVERAGEIF($C$7:$C$18,"&lt;&gt;",$H$7:$H$18),F16&gt;=AVERAGEIF($C$7:$C$18,"&lt;&gt;",$F$7:$F$18)),"Star",IF(AND(H16&lt;AVERAGEIF($C$7:$C$18,"&lt;&gt;",$H$7:$H$18),F16&gt;=AVERAGEIF($C$7:$C$18,"&lt;&gt;",$F$7:$F$18)),"Plowhorse",IF(AND(H16&gt;=AVERAGEIF($C$7:$C$18,"&lt;&gt;",$H$7:$H$18),F16&lt;AVERAGEIF($C$7:$C$18,"&lt;&gt;",$F$7:$F$18)),"Puzzle","Dog"))))</f>
        <v/>
      </c>
      <c r="M16" s="55">
        <f>IF(C16="","",IF(L16="Star","High margin %, high volume — protect it.",IF(L16="Plowhorse","Pays the rent on volume. Nudge price or plate cost before you 86 it.",IF(L16="Puzzle","Margin is there. The room is not selling it.","Low mix and below-average margin %. Check CM $/plate before you cut."))))</f>
        <v/>
      </c>
      <c r="N16" s="4" t="n"/>
    </row>
    <row r="17" ht="20" customHeight="1">
      <c r="A17" s="4" t="n"/>
      <c r="B17" s="81" t="n">
        <v>11</v>
      </c>
      <c r="C17" s="18" t="inlineStr">
        <is>
          <t>House Margarita</t>
        </is>
      </c>
      <c r="D17" s="82" t="n">
        <v>13</v>
      </c>
      <c r="E17" s="82" t="n">
        <v>2.21</v>
      </c>
      <c r="F17" s="20" t="n">
        <v>176</v>
      </c>
      <c r="G17" s="83">
        <f>IF(C17="","",D17-E17)</f>
        <v/>
      </c>
      <c r="H17" s="60">
        <f>IF(OR(C17="",D17="",D17=0),"",(D17-E17)/D17)</f>
        <v/>
      </c>
      <c r="I17" s="53">
        <f>IF(C17="","",(D17-E17)*N(F17))</f>
        <v/>
      </c>
      <c r="J17" s="60">
        <f>IF(C17="","",IF(SUMIF($C$7:$C$18,"&lt;&gt;",$F$7:$F$18)=0,"",F17/SUMIF($C$7:$C$18,"&lt;&gt;",$F$7:$F$18)))</f>
        <v/>
      </c>
      <c r="K17" s="53">
        <f>IF(C17="","",D17*N(F17))</f>
        <v/>
      </c>
      <c r="L17" s="84">
        <f>IF(C17="","",IF(AND(H17&gt;=AVERAGEIF($C$7:$C$18,"&lt;&gt;",$H$7:$H$18),F17&gt;=AVERAGEIF($C$7:$C$18,"&lt;&gt;",$F$7:$F$18)),"Star",IF(AND(H17&lt;AVERAGEIF($C$7:$C$18,"&lt;&gt;",$H$7:$H$18),F17&gt;=AVERAGEIF($C$7:$C$18,"&lt;&gt;",$F$7:$F$18)),"Plowhorse",IF(AND(H17&gt;=AVERAGEIF($C$7:$C$18,"&lt;&gt;",$H$7:$H$18),F17&lt;AVERAGEIF($C$7:$C$18,"&lt;&gt;",$F$7:$F$18)),"Puzzle","Dog"))))</f>
        <v/>
      </c>
      <c r="M17" s="55">
        <f>IF(C17="","",IF(L17="Star","High margin %, high volume — protect it.",IF(L17="Plowhorse","Pays the rent on volume. Nudge price or plate cost before you 86 it.",IF(L17="Puzzle","Margin is there. The room is not selling it.","Low mix and below-average margin %. Check CM $/plate before you cut."))))</f>
        <v/>
      </c>
      <c r="N17" s="4" t="n"/>
    </row>
    <row r="18" ht="20" customHeight="1">
      <c r="A18" s="4" t="n"/>
      <c r="B18" s="81" t="n">
        <v>12</v>
      </c>
      <c r="C18" s="18" t="inlineStr">
        <is>
          <t>Old Fashioned</t>
        </is>
      </c>
      <c r="D18" s="82" t="n">
        <v>15</v>
      </c>
      <c r="E18" s="82" t="n">
        <v>2.7</v>
      </c>
      <c r="F18" s="20" t="n">
        <v>88</v>
      </c>
      <c r="G18" s="83">
        <f>IF(C18="","",D18-E18)</f>
        <v/>
      </c>
      <c r="H18" s="60">
        <f>IF(OR(C18="",D18="",D18=0),"",(D18-E18)/D18)</f>
        <v/>
      </c>
      <c r="I18" s="53">
        <f>IF(C18="","",(D18-E18)*N(F18))</f>
        <v/>
      </c>
      <c r="J18" s="60">
        <f>IF(C18="","",IF(SUMIF($C$7:$C$18,"&lt;&gt;",$F$7:$F$18)=0,"",F18/SUMIF($C$7:$C$18,"&lt;&gt;",$F$7:$F$18)))</f>
        <v/>
      </c>
      <c r="K18" s="53">
        <f>IF(C18="","",D18*N(F18))</f>
        <v/>
      </c>
      <c r="L18" s="84">
        <f>IF(C18="","",IF(AND(H18&gt;=AVERAGEIF($C$7:$C$18,"&lt;&gt;",$H$7:$H$18),F18&gt;=AVERAGEIF($C$7:$C$18,"&lt;&gt;",$F$7:$F$18)),"Star",IF(AND(H18&lt;AVERAGEIF($C$7:$C$18,"&lt;&gt;",$H$7:$H$18),F18&gt;=AVERAGEIF($C$7:$C$18,"&lt;&gt;",$F$7:$F$18)),"Plowhorse",IF(AND(H18&gt;=AVERAGEIF($C$7:$C$18,"&lt;&gt;",$H$7:$H$18),F18&lt;AVERAGEIF($C$7:$C$18,"&lt;&gt;",$F$7:$F$18)),"Puzzle","Dog"))))</f>
        <v/>
      </c>
      <c r="M18" s="55">
        <f>IF(C18="","",IF(L18="Star","High margin %, high volume — protect it.",IF(L18="Plowhorse","Pays the rent on volume. Nudge price or plate cost before you 86 it.",IF(L18="Puzzle","Margin is there. The room is not selling it.","Low mix and below-average margin %. Check CM $/plate before you cut."))))</f>
        <v/>
      </c>
      <c r="N18" s="4" t="n"/>
    </row>
    <row r="19" ht="22" customHeight="1">
      <c r="A19" s="4" t="n"/>
      <c r="B19" s="1" t="inlineStr"/>
      <c r="C19" s="85" t="inlineStr">
        <is>
          <t>Listed items</t>
        </is>
      </c>
      <c r="D19" s="86">
        <f>IFERROR(AVERAGEIF($C$7:$C$18,"&lt;&gt;",$D$7:$D$18),"")</f>
        <v/>
      </c>
      <c r="E19" s="86">
        <f>IFERROR(AVERAGEIF($C$7:$C$18,"&lt;&gt;",$E$7:$E$18),"")</f>
        <v/>
      </c>
      <c r="F19" s="87">
        <f>SUMIF($C$7:$C$18,"&lt;&gt;",$F$7:$F$18)</f>
        <v/>
      </c>
      <c r="G19" s="86">
        <f>IFERROR(AVERAGEIF($C$7:$C$18,"&lt;&gt;",$G$7:$G$18),"")</f>
        <v/>
      </c>
      <c r="H19" s="88">
        <f>IFERROR(AVERAGEIF($C$7:$C$18,"&lt;&gt;",$H$7:$H$18),"")</f>
        <v/>
      </c>
      <c r="I19" s="89">
        <f>SUMIF($C$7:$C$18,"&lt;&gt;",$I$7:$I$18)</f>
        <v/>
      </c>
      <c r="J19" s="88">
        <f>IF(F19=0,"",1)</f>
        <v/>
      </c>
      <c r="K19" s="89">
        <f>SUMIF($C$7:$C$18,"&lt;&gt;",$K$7:$K$18)</f>
        <v/>
      </c>
      <c r="L19" s="90" t="inlineStr">
        <is>
          <t>averages / totals</t>
        </is>
      </c>
      <c r="M19" s="91" t="inlineStr">
        <is>
          <t>Class line is vs these averages.</t>
        </is>
      </c>
      <c r="N19" s="4" t="n"/>
    </row>
    <row r="20" ht="18" customHeight="1">
      <c r="A20" s="4" t="n"/>
      <c r="B20" s="4" t="n"/>
      <c r="C20" s="4" t="n"/>
      <c r="D20" s="4" t="n"/>
      <c r="E20" s="4" t="n"/>
      <c r="F20" s="4" t="n"/>
      <c r="G20" s="4" t="n"/>
      <c r="H20" s="4" t="n"/>
      <c r="I20" s="4" t="n"/>
      <c r="J20" s="4" t="n"/>
      <c r="K20" s="4" t="n"/>
      <c r="L20" s="4" t="n"/>
      <c r="M20" s="4" t="n"/>
      <c r="N20" s="4" t="n"/>
    </row>
    <row r="21" ht="20" customHeight="1">
      <c r="A21" s="4" t="n"/>
      <c r="B21" s="36" t="inlineStr">
        <is>
          <t>COUNT THIS PERIOD</t>
        </is>
      </c>
      <c r="C21" s="15" t="n"/>
      <c r="D21" s="15" t="n"/>
      <c r="E21" s="15" t="n"/>
      <c r="F21" s="15" t="n"/>
      <c r="G21" s="15" t="n"/>
      <c r="H21" s="15" t="n"/>
      <c r="I21" s="15" t="n"/>
      <c r="J21" s="15" t="n"/>
      <c r="K21" s="15" t="n"/>
      <c r="L21" s="15" t="n"/>
      <c r="M21" s="15" t="n"/>
      <c r="N21" s="4" t="n"/>
    </row>
    <row r="22" ht="20" customHeight="1">
      <c r="A22" s="4" t="n"/>
      <c r="B22" s="4" t="n"/>
      <c r="C22" s="92" t="inlineStr">
        <is>
          <t>Star</t>
        </is>
      </c>
      <c r="D22" s="93">
        <f>COUNTIF($L$7:$L$18,"Star")</f>
        <v/>
      </c>
      <c r="E22" s="14" t="inlineStr">
        <is>
          <t>Protect. Do not bury on page two of the menu.</t>
        </is>
      </c>
      <c r="N22" s="4" t="n"/>
    </row>
    <row r="23" ht="20" customHeight="1">
      <c r="A23" s="4" t="n"/>
      <c r="B23" s="4" t="n"/>
      <c r="C23" s="92" t="inlineStr">
        <is>
          <t>Plowhorse</t>
        </is>
      </c>
      <c r="D23" s="93">
        <f>COUNTIF($L$7:$L$18,"Plowhorse")</f>
        <v/>
      </c>
      <c r="E23" s="14" t="inlineStr">
        <is>
          <t>Volume is doing the work. A dollar of price or a smaller plate moves more than a new dish.</t>
        </is>
      </c>
      <c r="N23" s="4" t="n"/>
    </row>
    <row r="24" ht="20" customHeight="1">
      <c r="A24" s="4" t="n"/>
      <c r="B24" s="4" t="n"/>
      <c r="C24" s="92" t="inlineStr">
        <is>
          <t>Puzzle</t>
        </is>
      </c>
      <c r="D24" s="93">
        <f>COUNTIF($L$7:$L$18,"Puzzle")</f>
        <v/>
      </c>
      <c r="E24" s="14" t="inlineStr">
        <is>
          <t>Staff push or a menu mention. If it still does not sell in 4 weeks, it is a vanity item.</t>
        </is>
      </c>
      <c r="N24" s="4" t="n"/>
    </row>
    <row r="25" ht="20" customHeight="1">
      <c r="A25" s="4" t="n"/>
      <c r="B25" s="4" t="n"/>
      <c r="C25" s="92" t="inlineStr">
        <is>
          <t>Dog</t>
        </is>
      </c>
      <c r="D25" s="93">
        <f>COUNTIF($L$7:$L$18,"Dog")</f>
        <v/>
      </c>
      <c r="E25" s="14" t="inlineStr">
        <is>
          <t>Candidates to 86 — unless CM $/plate is high (steak). Then it is a puzzle wearing a dog tag.</t>
        </is>
      </c>
      <c r="N25" s="4" t="n"/>
    </row>
    <row r="26" ht="18" customHeight="1">
      <c r="A26" s="4" t="n"/>
      <c r="B26" s="4" t="n"/>
      <c r="C26" s="4" t="n"/>
      <c r="D26" s="4" t="n"/>
      <c r="E26" s="4" t="n"/>
      <c r="F26" s="4" t="n"/>
      <c r="G26" s="4" t="n"/>
      <c r="H26" s="4" t="n"/>
      <c r="I26" s="4" t="n"/>
      <c r="J26" s="4" t="n"/>
      <c r="K26" s="4" t="n"/>
      <c r="L26" s="4" t="n"/>
      <c r="M26" s="4" t="n"/>
      <c r="N26" s="4" t="n"/>
    </row>
    <row r="27" ht="36" customHeight="1">
      <c r="A27" s="4" t="n"/>
      <c r="B27" s="32" t="inlineStr">
        <is>
          <t>Thresholds update when you add or delete item names. Blank the name to drop a row from the averages. Plate cost is recipe / theoretical. If actual food cost on Prime Cost is far from theoretical mix here, the leak is in the kitchen, not on the menu.</t>
        </is>
      </c>
      <c r="N27" s="4" t="n"/>
    </row>
    <row r="28" ht="18" customHeight="1">
      <c r="A28" s="4" t="n"/>
      <c r="B28" s="4" t="n"/>
      <c r="C28" s="4" t="n"/>
      <c r="D28" s="4" t="n"/>
      <c r="E28" s="4" t="n"/>
      <c r="F28" s="4" t="n"/>
      <c r="G28" s="4" t="n"/>
      <c r="H28" s="4" t="n"/>
      <c r="I28" s="4" t="n"/>
      <c r="J28" s="4" t="n"/>
      <c r="K28" s="4" t="n"/>
      <c r="L28" s="4" t="n"/>
      <c r="M28" s="4" t="n"/>
      <c r="N28" s="4" t="n"/>
    </row>
    <row r="29" ht="18" customHeight="1">
      <c r="A29" s="4" t="n"/>
      <c r="B29" s="4" t="n"/>
      <c r="C29" s="4" t="n"/>
      <c r="D29" s="4" t="n"/>
      <c r="E29" s="4" t="n"/>
      <c r="F29" s="4" t="n"/>
      <c r="G29" s="4" t="n"/>
      <c r="H29" s="4" t="n"/>
      <c r="I29" s="4" t="n"/>
      <c r="J29" s="4" t="n"/>
      <c r="K29" s="4" t="n"/>
      <c r="L29" s="4" t="n"/>
      <c r="M29" s="4" t="n"/>
      <c r="N29" s="4" t="n"/>
    </row>
    <row r="30" ht="18" customHeight="1">
      <c r="A30" s="4" t="n"/>
      <c r="B30" s="4" t="n"/>
      <c r="C30" s="4" t="n"/>
      <c r="D30" s="4" t="n"/>
      <c r="E30" s="4" t="n"/>
      <c r="F30" s="4" t="n"/>
      <c r="G30" s="4" t="n"/>
      <c r="H30" s="4" t="n"/>
      <c r="I30" s="4" t="n"/>
      <c r="J30" s="4" t="n"/>
      <c r="K30" s="4" t="n"/>
      <c r="L30" s="4" t="n"/>
      <c r="M30" s="4" t="n"/>
      <c r="N30" s="4" t="n"/>
    </row>
  </sheetData>
  <mergeCells count="10">
    <mergeCell ref="B2:M2"/>
    <mergeCell ref="E24:M24"/>
    <mergeCell ref="E25:M25"/>
    <mergeCell ref="B3:M3"/>
    <mergeCell ref="B21:M21"/>
    <mergeCell ref="B1:D1"/>
    <mergeCell ref="E23:M23"/>
    <mergeCell ref="E22:M22"/>
    <mergeCell ref="B27:M27"/>
    <mergeCell ref="B4:M4"/>
  </mergeCells>
  <conditionalFormatting sqref="L7:L18">
    <cfRule type="expression" priority="1" dxfId="2">
      <formula>L7="Star"</formula>
    </cfRule>
    <cfRule type="expression" priority="2" dxfId="1">
      <formula>L7="Dog"</formula>
    </cfRule>
    <cfRule type="expression" priority="3" dxfId="3">
      <formula>L7="Plowhorse"</formula>
    </cfRule>
  </conditionalFormatting>
  <printOptions horizontalCentered="1"/>
  <pageMargins left="0.5" right="0.5" top="0.7" bottom="0.55" header="0.28" footer="0.28"/>
  <pageSetup orientation="landscape" paperSize="1" fitToHeight="1" fitToWidth="1"/>
  <headerFooter>
    <oddHeader>&amp;L&amp;"Calibri"&amp;8 FOURWALL  ·  MARGIN KIT</oddHeader>
    <oddFooter>&amp;L&amp;"Calibri"&amp;8 Decision tool. Not accounting. Not tax.&amp;R&amp;"Calibri"&amp;8 Page &amp;P of &amp;N</oddFooter>
    <evenHeader/>
    <evenFooter/>
    <firstHeader/>
    <firstFooter/>
  </headerFooter>
</worksheet>
</file>

<file path=xl/worksheets/sheet6.xml><?xml version="1.0" encoding="utf-8"?>
<worksheet xmlns="http://schemas.openxmlformats.org/spreadsheetml/2006/main">
  <sheetPr>
    <tabColor rgb="00B33A1A"/>
    <outlinePr summaryBelow="1" summaryRight="1"/>
    <pageSetUpPr fitToPage="1"/>
  </sheetPr>
  <dimension ref="A1:M22"/>
  <sheetViews>
    <sheetView showGridLines="0" zoomScale="110" workbookViewId="0">
      <pane xSplit="3" ySplit="7" topLeftCell="D8" activePane="bottomRight" state="frozen"/>
      <selection pane="topRight" activeCell="A1" sqref="A1"/>
      <selection pane="bottomLeft" activeCell="A1" sqref="A1"/>
      <selection pane="bottomRight" activeCell="A1" sqref="A1"/>
    </sheetView>
  </sheetViews>
  <sheetFormatPr baseColWidth="8" defaultRowHeight="15"/>
  <cols>
    <col width="3" customWidth="1" min="1" max="1"/>
    <col width="8" customWidth="1" min="2" max="2"/>
    <col width="16"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6" customWidth="1" min="11" max="11"/>
    <col width="16" customWidth="1" min="12" max="12"/>
    <col width="3" customWidth="1" min="13" max="13"/>
  </cols>
  <sheetData>
    <row r="1" ht="22" customHeight="1">
      <c r="A1" s="1" t="inlineStr"/>
      <c r="B1" s="2" t="inlineStr">
        <is>
          <t>FOURWALL  ·  MARGIN KIT</t>
        </is>
      </c>
      <c r="E1" s="1" t="inlineStr"/>
      <c r="F1" s="1" t="inlineStr"/>
      <c r="G1" s="1" t="inlineStr"/>
      <c r="H1" s="1" t="inlineStr"/>
      <c r="I1" s="1" t="inlineStr"/>
      <c r="J1" s="1" t="inlineStr"/>
      <c r="K1" s="1" t="inlineStr"/>
      <c r="L1" s="1" t="inlineStr"/>
      <c r="M1" s="3" t="inlineStr">
        <is>
          <t>8-WEEK CASH</t>
        </is>
      </c>
    </row>
    <row r="2" ht="22" customHeight="1">
      <c r="A2" s="4" t="n"/>
      <c r="B2" s="16" t="inlineStr">
        <is>
          <t>8-week cash  —  ending cash, flagged if it goes negative</t>
        </is>
      </c>
      <c r="M2" s="4" t="n"/>
    </row>
    <row r="3" ht="20" customHeight="1">
      <c r="A3" s="4" t="n"/>
      <c r="B3" s="50">
        <f>Company&amp;"  ·  starting cash "&amp;TEXT(StartCash,"$#,##0")&amp;"  ·  weeks in period "&amp;TEXT(Weeks,"0.00")</f>
        <v/>
      </c>
      <c r="M3" s="4" t="n"/>
    </row>
    <row r="4" ht="40" customHeight="1">
      <c r="A4" s="4" t="n"/>
      <c r="B4" s="12" t="inlineStr">
        <is>
          <t>This is cash, not accrual. A profitable four-week P&amp;L can still bounce in week 1 if rent and vendor bills land together. Sales / food+bev / labor use this period weekly run-rate when the override on Inputs is blank. Occupancy is lumpy unless you set Spread occupancy to Yes. Type 0 on Inputs to force a week to zero. Sand overrides live on Inputs (rows 38-45). This sheet is all formulas.</t>
        </is>
      </c>
      <c r="M4" s="4" t="n"/>
    </row>
    <row r="5" ht="18" customHeight="1">
      <c r="A5" s="4" t="n"/>
      <c r="B5" s="4" t="n"/>
      <c r="C5" s="4" t="n"/>
      <c r="D5" s="4" t="n"/>
      <c r="E5" s="4" t="n"/>
      <c r="F5" s="4" t="n"/>
      <c r="G5" s="4" t="n"/>
      <c r="H5" s="4" t="n"/>
      <c r="I5" s="4" t="n"/>
      <c r="J5" s="4" t="n"/>
      <c r="K5" s="4" t="n"/>
      <c r="L5" s="4" t="n"/>
      <c r="M5" s="4" t="n"/>
    </row>
    <row r="6" ht="22" customHeight="1">
      <c r="A6" s="4" t="n"/>
      <c r="B6" s="94" t="inlineStr">
        <is>
          <t>Starting cash</t>
        </is>
      </c>
      <c r="C6" s="95">
        <f>StartCash</f>
        <v/>
      </c>
      <c r="D6" s="14">
        <f>"From Inputs. Other weekly default "&amp;TEXT(OtherWeekly,"$#,##0")&amp;". Occupancy spread: "&amp;SpreadOcc&amp;"."</f>
        <v/>
      </c>
      <c r="M6" s="4" t="n"/>
    </row>
    <row r="7" ht="22" customHeight="1">
      <c r="A7" s="4" t="n"/>
      <c r="B7" s="80" t="inlineStr">
        <is>
          <t>Wk</t>
        </is>
      </c>
      <c r="C7" s="80" t="inlineStr">
        <is>
          <t>Week starting</t>
        </is>
      </c>
      <c r="D7" s="80" t="inlineStr">
        <is>
          <t>Sales</t>
        </is>
      </c>
      <c r="E7" s="80" t="inlineStr">
        <is>
          <t>Food+bev</t>
        </is>
      </c>
      <c r="F7" s="80" t="inlineStr">
        <is>
          <t>Labor</t>
        </is>
      </c>
      <c r="G7" s="80" t="inlineStr">
        <is>
          <t>Occupancy</t>
        </is>
      </c>
      <c r="H7" s="80" t="inlineStr">
        <is>
          <t>Other</t>
        </is>
      </c>
      <c r="I7" s="80" t="inlineStr">
        <is>
          <t>Cash-out</t>
        </is>
      </c>
      <c r="J7" s="80" t="inlineStr">
        <is>
          <t>Net</t>
        </is>
      </c>
      <c r="K7" s="80" t="inlineStr">
        <is>
          <t>Ending cash</t>
        </is>
      </c>
      <c r="L7" s="80" t="inlineStr">
        <is>
          <t>Flag</t>
        </is>
      </c>
      <c r="M7" s="4" t="n"/>
    </row>
    <row r="8" ht="22" customHeight="1">
      <c r="A8" s="4" t="n"/>
      <c r="B8" s="81" t="n">
        <v>1</v>
      </c>
      <c r="C8" s="96">
        <f>Inputs!B38</f>
        <v/>
      </c>
      <c r="D8" s="53">
        <f>IF(Weeks=0,"",IF(Inputs!C38="",GroupSales/Weeks,Inputs!C38))</f>
        <v/>
      </c>
      <c r="E8" s="53">
        <f>IF(Weeks=0,"",IF(Inputs!D38="",(GroupFood+GroupBev)/Weeks,Inputs!D38))</f>
        <v/>
      </c>
      <c r="F8" s="53">
        <f>IF(Weeks=0,"",IF(Inputs!E38="",GroupLabor/Weeks,Inputs!E38))</f>
        <v/>
      </c>
      <c r="G8" s="53">
        <f>IF(Inputs!F38="",IF(SpreadOcc="Yes",IF(Weeks=0,"",GroupOcc/Weeks),0),Inputs!F38)</f>
        <v/>
      </c>
      <c r="H8" s="53">
        <f>IF(Inputs!G38="",OtherWeekly,Inputs!G38)</f>
        <v/>
      </c>
      <c r="I8" s="77">
        <f>IF(D8="","",E8+F8+G8+H8)</f>
        <v/>
      </c>
      <c r="J8" s="77">
        <f>IF(D8="","",D8-I8)</f>
        <v/>
      </c>
      <c r="K8" s="77">
        <f>IF(J8="","",StartCash+J8)</f>
        <v/>
      </c>
      <c r="L8" s="97">
        <f>IF(K8="","",IF(K8&lt;0,"CASH HOLE",IF(K8&lt;10000,"Tight","")))</f>
        <v/>
      </c>
      <c r="M8" s="4" t="n"/>
    </row>
    <row r="9" ht="22" customHeight="1">
      <c r="A9" s="4" t="n"/>
      <c r="B9" s="98" t="n">
        <v>2</v>
      </c>
      <c r="C9" s="99">
        <f>Inputs!B39</f>
        <v/>
      </c>
      <c r="D9" s="59">
        <f>IF(Weeks=0,"",IF(Inputs!C39="",GroupSales/Weeks,Inputs!C39))</f>
        <v/>
      </c>
      <c r="E9" s="59">
        <f>IF(Weeks=0,"",IF(Inputs!D39="",(GroupFood+GroupBev)/Weeks,Inputs!D39))</f>
        <v/>
      </c>
      <c r="F9" s="59">
        <f>IF(Weeks=0,"",IF(Inputs!E39="",GroupLabor/Weeks,Inputs!E39))</f>
        <v/>
      </c>
      <c r="G9" s="59">
        <f>IF(Inputs!F39="",IF(SpreadOcc="Yes",IF(Weeks=0,"",GroupOcc/Weeks),0),Inputs!F39)</f>
        <v/>
      </c>
      <c r="H9" s="59">
        <f>IF(Inputs!G39="",OtherWeekly,Inputs!G39)</f>
        <v/>
      </c>
      <c r="I9" s="73">
        <f>IF(D9="","",E9+F9+G9+H9)</f>
        <v/>
      </c>
      <c r="J9" s="73">
        <f>IF(D9="","",D9-I9)</f>
        <v/>
      </c>
      <c r="K9" s="73">
        <f>IF(J9="","",K8+J9)</f>
        <v/>
      </c>
      <c r="L9" s="100">
        <f>IF(K9="","",IF(K9&lt;0,"CASH HOLE",IF(K9&lt;10000,"Tight","")))</f>
        <v/>
      </c>
      <c r="M9" s="4" t="n"/>
    </row>
    <row r="10" ht="22" customHeight="1">
      <c r="A10" s="4" t="n"/>
      <c r="B10" s="81" t="n">
        <v>3</v>
      </c>
      <c r="C10" s="96">
        <f>Inputs!B40</f>
        <v/>
      </c>
      <c r="D10" s="53">
        <f>IF(Weeks=0,"",IF(Inputs!C40="",GroupSales/Weeks,Inputs!C40))</f>
        <v/>
      </c>
      <c r="E10" s="53">
        <f>IF(Weeks=0,"",IF(Inputs!D40="",(GroupFood+GroupBev)/Weeks,Inputs!D40))</f>
        <v/>
      </c>
      <c r="F10" s="53">
        <f>IF(Weeks=0,"",IF(Inputs!E40="",GroupLabor/Weeks,Inputs!E40))</f>
        <v/>
      </c>
      <c r="G10" s="53">
        <f>IF(Inputs!F40="",IF(SpreadOcc="Yes",IF(Weeks=0,"",GroupOcc/Weeks),0),Inputs!F40)</f>
        <v/>
      </c>
      <c r="H10" s="53">
        <f>IF(Inputs!G40="",OtherWeekly,Inputs!G40)</f>
        <v/>
      </c>
      <c r="I10" s="77">
        <f>IF(D10="","",E10+F10+G10+H10)</f>
        <v/>
      </c>
      <c r="J10" s="77">
        <f>IF(D10="","",D10-I10)</f>
        <v/>
      </c>
      <c r="K10" s="77">
        <f>IF(J10="","",K9+J10)</f>
        <v/>
      </c>
      <c r="L10" s="97">
        <f>IF(K10="","",IF(K10&lt;0,"CASH HOLE",IF(K10&lt;10000,"Tight","")))</f>
        <v/>
      </c>
      <c r="M10" s="4" t="n"/>
    </row>
    <row r="11" ht="22" customHeight="1">
      <c r="A11" s="4" t="n"/>
      <c r="B11" s="98" t="n">
        <v>4</v>
      </c>
      <c r="C11" s="99">
        <f>Inputs!B41</f>
        <v/>
      </c>
      <c r="D11" s="59">
        <f>IF(Weeks=0,"",IF(Inputs!C41="",GroupSales/Weeks,Inputs!C41))</f>
        <v/>
      </c>
      <c r="E11" s="59">
        <f>IF(Weeks=0,"",IF(Inputs!D41="",(GroupFood+GroupBev)/Weeks,Inputs!D41))</f>
        <v/>
      </c>
      <c r="F11" s="59">
        <f>IF(Weeks=0,"",IF(Inputs!E41="",GroupLabor/Weeks,Inputs!E41))</f>
        <v/>
      </c>
      <c r="G11" s="59">
        <f>IF(Inputs!F41="",IF(SpreadOcc="Yes",IF(Weeks=0,"",GroupOcc/Weeks),0),Inputs!F41)</f>
        <v/>
      </c>
      <c r="H11" s="59">
        <f>IF(Inputs!G41="",OtherWeekly,Inputs!G41)</f>
        <v/>
      </c>
      <c r="I11" s="73">
        <f>IF(D11="","",E11+F11+G11+H11)</f>
        <v/>
      </c>
      <c r="J11" s="73">
        <f>IF(D11="","",D11-I11)</f>
        <v/>
      </c>
      <c r="K11" s="73">
        <f>IF(J11="","",K10+J11)</f>
        <v/>
      </c>
      <c r="L11" s="100">
        <f>IF(K11="","",IF(K11&lt;0,"CASH HOLE",IF(K11&lt;10000,"Tight","")))</f>
        <v/>
      </c>
      <c r="M11" s="4" t="n"/>
    </row>
    <row r="12" ht="22" customHeight="1">
      <c r="A12" s="4" t="n"/>
      <c r="B12" s="81" t="n">
        <v>5</v>
      </c>
      <c r="C12" s="96">
        <f>Inputs!B42</f>
        <v/>
      </c>
      <c r="D12" s="53">
        <f>IF(Weeks=0,"",IF(Inputs!C42="",GroupSales/Weeks,Inputs!C42))</f>
        <v/>
      </c>
      <c r="E12" s="53">
        <f>IF(Weeks=0,"",IF(Inputs!D42="",(GroupFood+GroupBev)/Weeks,Inputs!D42))</f>
        <v/>
      </c>
      <c r="F12" s="53">
        <f>IF(Weeks=0,"",IF(Inputs!E42="",GroupLabor/Weeks,Inputs!E42))</f>
        <v/>
      </c>
      <c r="G12" s="53">
        <f>IF(Inputs!F42="",IF(SpreadOcc="Yes",IF(Weeks=0,"",GroupOcc/Weeks),0),Inputs!F42)</f>
        <v/>
      </c>
      <c r="H12" s="53">
        <f>IF(Inputs!G42="",OtherWeekly,Inputs!G42)</f>
        <v/>
      </c>
      <c r="I12" s="77">
        <f>IF(D12="","",E12+F12+G12+H12)</f>
        <v/>
      </c>
      <c r="J12" s="77">
        <f>IF(D12="","",D12-I12)</f>
        <v/>
      </c>
      <c r="K12" s="77">
        <f>IF(J12="","",K11+J12)</f>
        <v/>
      </c>
      <c r="L12" s="97">
        <f>IF(K12="","",IF(K12&lt;0,"CASH HOLE",IF(K12&lt;10000,"Tight","")))</f>
        <v/>
      </c>
      <c r="M12" s="4" t="n"/>
    </row>
    <row r="13" ht="22" customHeight="1">
      <c r="A13" s="4" t="n"/>
      <c r="B13" s="98" t="n">
        <v>6</v>
      </c>
      <c r="C13" s="99">
        <f>Inputs!B43</f>
        <v/>
      </c>
      <c r="D13" s="59">
        <f>IF(Weeks=0,"",IF(Inputs!C43="",GroupSales/Weeks,Inputs!C43))</f>
        <v/>
      </c>
      <c r="E13" s="59">
        <f>IF(Weeks=0,"",IF(Inputs!D43="",(GroupFood+GroupBev)/Weeks,Inputs!D43))</f>
        <v/>
      </c>
      <c r="F13" s="59">
        <f>IF(Weeks=0,"",IF(Inputs!E43="",GroupLabor/Weeks,Inputs!E43))</f>
        <v/>
      </c>
      <c r="G13" s="59">
        <f>IF(Inputs!F43="",IF(SpreadOcc="Yes",IF(Weeks=0,"",GroupOcc/Weeks),0),Inputs!F43)</f>
        <v/>
      </c>
      <c r="H13" s="59">
        <f>IF(Inputs!G43="",OtherWeekly,Inputs!G43)</f>
        <v/>
      </c>
      <c r="I13" s="73">
        <f>IF(D13="","",E13+F13+G13+H13)</f>
        <v/>
      </c>
      <c r="J13" s="73">
        <f>IF(D13="","",D13-I13)</f>
        <v/>
      </c>
      <c r="K13" s="73">
        <f>IF(J13="","",K12+J13)</f>
        <v/>
      </c>
      <c r="L13" s="100">
        <f>IF(K13="","",IF(K13&lt;0,"CASH HOLE",IF(K13&lt;10000,"Tight","")))</f>
        <v/>
      </c>
      <c r="M13" s="4" t="n"/>
    </row>
    <row r="14" ht="22" customHeight="1">
      <c r="A14" s="4" t="n"/>
      <c r="B14" s="81" t="n">
        <v>7</v>
      </c>
      <c r="C14" s="96">
        <f>Inputs!B44</f>
        <v/>
      </c>
      <c r="D14" s="53">
        <f>IF(Weeks=0,"",IF(Inputs!C44="",GroupSales/Weeks,Inputs!C44))</f>
        <v/>
      </c>
      <c r="E14" s="53">
        <f>IF(Weeks=0,"",IF(Inputs!D44="",(GroupFood+GroupBev)/Weeks,Inputs!D44))</f>
        <v/>
      </c>
      <c r="F14" s="53">
        <f>IF(Weeks=0,"",IF(Inputs!E44="",GroupLabor/Weeks,Inputs!E44))</f>
        <v/>
      </c>
      <c r="G14" s="53">
        <f>IF(Inputs!F44="",IF(SpreadOcc="Yes",IF(Weeks=0,"",GroupOcc/Weeks),0),Inputs!F44)</f>
        <v/>
      </c>
      <c r="H14" s="53">
        <f>IF(Inputs!G44="",OtherWeekly,Inputs!G44)</f>
        <v/>
      </c>
      <c r="I14" s="77">
        <f>IF(D14="","",E14+F14+G14+H14)</f>
        <v/>
      </c>
      <c r="J14" s="77">
        <f>IF(D14="","",D14-I14)</f>
        <v/>
      </c>
      <c r="K14" s="77">
        <f>IF(J14="","",K13+J14)</f>
        <v/>
      </c>
      <c r="L14" s="97">
        <f>IF(K14="","",IF(K14&lt;0,"CASH HOLE",IF(K14&lt;10000,"Tight","")))</f>
        <v/>
      </c>
      <c r="M14" s="4" t="n"/>
    </row>
    <row r="15" ht="22" customHeight="1">
      <c r="A15" s="4" t="n"/>
      <c r="B15" s="98" t="n">
        <v>8</v>
      </c>
      <c r="C15" s="99">
        <f>Inputs!B45</f>
        <v/>
      </c>
      <c r="D15" s="59">
        <f>IF(Weeks=0,"",IF(Inputs!C45="",GroupSales/Weeks,Inputs!C45))</f>
        <v/>
      </c>
      <c r="E15" s="59">
        <f>IF(Weeks=0,"",IF(Inputs!D45="",(GroupFood+GroupBev)/Weeks,Inputs!D45))</f>
        <v/>
      </c>
      <c r="F15" s="59">
        <f>IF(Weeks=0,"",IF(Inputs!E45="",GroupLabor/Weeks,Inputs!E45))</f>
        <v/>
      </c>
      <c r="G15" s="59">
        <f>IF(Inputs!F45="",IF(SpreadOcc="Yes",IF(Weeks=0,"",GroupOcc/Weeks),0),Inputs!F45)</f>
        <v/>
      </c>
      <c r="H15" s="59">
        <f>IF(Inputs!G45="",OtherWeekly,Inputs!G45)</f>
        <v/>
      </c>
      <c r="I15" s="73">
        <f>IF(D15="","",E15+F15+G15+H15)</f>
        <v/>
      </c>
      <c r="J15" s="73">
        <f>IF(D15="","",D15-I15)</f>
        <v/>
      </c>
      <c r="K15" s="73">
        <f>IF(J15="","",K14+J15)</f>
        <v/>
      </c>
      <c r="L15" s="100">
        <f>IF(K15="","",IF(K15&lt;0,"CASH HOLE",IF(K15&lt;10000,"Tight","")))</f>
        <v/>
      </c>
      <c r="M15" s="4" t="n"/>
    </row>
    <row r="16" ht="22" customHeight="1">
      <c r="A16" s="4" t="n"/>
      <c r="B16" s="1" t="inlineStr"/>
      <c r="C16" s="85" t="inlineStr">
        <is>
          <t>8-week total</t>
        </is>
      </c>
      <c r="D16" s="89">
        <f>SUM(D8:D15)</f>
        <v/>
      </c>
      <c r="E16" s="89">
        <f>SUM(E8:E15)</f>
        <v/>
      </c>
      <c r="F16" s="89">
        <f>SUM(F8:F15)</f>
        <v/>
      </c>
      <c r="G16" s="89">
        <f>SUM(G8:G15)</f>
        <v/>
      </c>
      <c r="H16" s="89">
        <f>SUM(H8:H15)</f>
        <v/>
      </c>
      <c r="I16" s="89">
        <f>SUM(I8:I15)</f>
        <v/>
      </c>
      <c r="J16" s="89">
        <f>SUM(J8:J15)</f>
        <v/>
      </c>
      <c r="K16" s="89">
        <f>K15</f>
        <v/>
      </c>
      <c r="L16" s="33">
        <f>IF(MIN(K8:K15)&lt;0,"Hole in view","No negative week")</f>
        <v/>
      </c>
      <c r="M16" s="4" t="n"/>
    </row>
    <row r="17" ht="18" customHeight="1">
      <c r="A17" s="4" t="n"/>
      <c r="B17" s="4" t="n"/>
      <c r="C17" s="4" t="n"/>
      <c r="D17" s="4" t="n"/>
      <c r="E17" s="4" t="n"/>
      <c r="F17" s="4" t="n"/>
      <c r="G17" s="4" t="n"/>
      <c r="H17" s="4" t="n"/>
      <c r="I17" s="4" t="n"/>
      <c r="J17" s="4" t="n"/>
      <c r="K17" s="4" t="n"/>
      <c r="L17" s="4" t="n"/>
      <c r="M17" s="4" t="n"/>
    </row>
    <row r="18" ht="36" customHeight="1">
      <c r="A18" s="4" t="n"/>
      <c r="B18" s="78">
        <f>IF(MIN(K8:K15)&lt;0,"A week in this view ends negative. Do not spend the four-wall number until you know which week the rent check clears. "&amp;"Lowest ending cash is "&amp;TEXT(MIN(K8:K15),"$#,##0")&amp;".","No week in this view goes negative. Lowest ending cash is "&amp;TEXT(MIN(K8:K15),"$#,##0")&amp;".")</f>
        <v/>
      </c>
      <c r="M18" s="4" t="n"/>
    </row>
    <row r="19" ht="18" customHeight="1">
      <c r="A19" s="4" t="n"/>
      <c r="B19" s="4" t="n"/>
      <c r="C19" s="4" t="n"/>
      <c r="D19" s="4" t="n"/>
      <c r="E19" s="4" t="n"/>
      <c r="F19" s="4" t="n"/>
      <c r="G19" s="4" t="n"/>
      <c r="H19" s="4" t="n"/>
      <c r="I19" s="4" t="n"/>
      <c r="J19" s="4" t="n"/>
      <c r="K19" s="4" t="n"/>
      <c r="L19" s="4" t="n"/>
      <c r="M19" s="4" t="n"/>
    </row>
    <row r="20" ht="32" customHeight="1">
      <c r="A20" s="4" t="n"/>
      <c r="B20" s="32" t="inlineStr">
        <is>
          <t>Card settlements, tip payouts, and sales-tax draws are not modeled. If you sweep tax or tips weekly, put them in Other. Food+bev here is cash to vendors that week, not COGS. If you pay the purveyor on Thursday, that is the week it belongs — even if the food got eaten last period. That is the point of this sheet.</t>
        </is>
      </c>
      <c r="M20" s="4" t="n"/>
    </row>
    <row r="21" ht="18" customHeight="1">
      <c r="A21" s="4" t="n"/>
      <c r="B21" s="4" t="n"/>
      <c r="C21" s="4" t="n"/>
      <c r="D21" s="4" t="n"/>
      <c r="E21" s="4" t="n"/>
      <c r="F21" s="4" t="n"/>
      <c r="G21" s="4" t="n"/>
      <c r="H21" s="4" t="n"/>
      <c r="I21" s="4" t="n"/>
      <c r="J21" s="4" t="n"/>
      <c r="K21" s="4" t="n"/>
      <c r="L21" s="4" t="n"/>
      <c r="M21" s="4" t="n"/>
    </row>
    <row r="22" ht="18" customHeight="1">
      <c r="A22" s="4" t="n"/>
      <c r="B22" s="4" t="n"/>
      <c r="C22" s="4" t="n"/>
      <c r="D22" s="4" t="n"/>
      <c r="E22" s="4" t="n"/>
      <c r="F22" s="4" t="n"/>
      <c r="G22" s="4" t="n"/>
      <c r="H22" s="4" t="n"/>
      <c r="I22" s="4" t="n"/>
      <c r="J22" s="4" t="n"/>
      <c r="K22" s="4" t="n"/>
      <c r="L22" s="4" t="n"/>
      <c r="M22" s="4" t="n"/>
    </row>
  </sheetData>
  <mergeCells count="7">
    <mergeCell ref="B4:L4"/>
    <mergeCell ref="B1:D1"/>
    <mergeCell ref="B3:L3"/>
    <mergeCell ref="B2:L2"/>
    <mergeCell ref="B20:L20"/>
    <mergeCell ref="D6:L6"/>
    <mergeCell ref="B18:L18"/>
  </mergeCells>
  <conditionalFormatting sqref="K8:K15">
    <cfRule type="cellIs" priority="1" operator="lessThan" dxfId="1">
      <formula>0</formula>
    </cfRule>
  </conditionalFormatting>
  <conditionalFormatting sqref="L8:L15">
    <cfRule type="expression" priority="2" dxfId="4">
      <formula>L8="CASH HOLE"</formula>
    </cfRule>
  </conditionalFormatting>
  <printOptions horizontalCentered="1"/>
  <pageMargins left="0.5" right="0.5" top="0.7" bottom="0.55" header="0.28" footer="0.28"/>
  <pageSetup orientation="landscape" paperSize="1" fitToHeight="1" fitToWidth="1"/>
  <headerFooter>
    <oddHeader>&amp;L&amp;"Calibri"&amp;8 FOURWALL  ·  MARGIN KIT</oddHeader>
    <oddFooter>&amp;L&amp;"Calibri"&amp;8 Decision tool. Not accounting. Not tax.&amp;R&amp;"Calibri"&amp;8 Page &amp;P of &amp;N</oddFooter>
    <evenHeader/>
    <evenFooter/>
    <firstHeader/>
    <firstFooter/>
  </headerFooter>
</worksheet>
</file>

<file path=xl/worksheets/sheet7.xml><?xml version="1.0" encoding="utf-8"?>
<worksheet xmlns="http://schemas.openxmlformats.org/spreadsheetml/2006/main">
  <sheetPr>
    <tabColor rgb="001B1B1B"/>
    <outlinePr summaryBelow="1" summaryRight="1"/>
    <pageSetUpPr fitToPage="1"/>
  </sheetPr>
  <dimension ref="A1:L30"/>
  <sheetViews>
    <sheetView showGridLines="0" zoomScale="110" workbookViewId="0">
      <pane xSplit="2" ySplit="6" topLeftCell="C7" activePane="bottomRight" state="frozen"/>
      <selection pane="topRight"/>
      <selection pane="bottomLeft"/>
      <selection pane="bottomRight" activeCell="A1" sqref="A1"/>
    </sheetView>
  </sheetViews>
  <sheetFormatPr baseColWidth="8" defaultRowHeight="15"/>
  <cols>
    <col width="3" customWidth="1" min="1" max="1"/>
    <col width="28" customWidth="1" min="2" max="2"/>
    <col width="16" customWidth="1" min="3" max="3"/>
    <col width="12" customWidth="1" min="4" max="4"/>
    <col width="16" customWidth="1" min="5" max="5"/>
    <col width="12" customWidth="1" min="6" max="6"/>
    <col width="16" customWidth="1" min="7" max="7"/>
    <col width="12" customWidth="1" min="8" max="8"/>
    <col width="16" customWidth="1" min="9" max="9"/>
    <col width="12" customWidth="1" min="10" max="10"/>
    <col width="36" customWidth="1" min="11" max="11"/>
    <col width="3" customWidth="1" min="12" max="12"/>
  </cols>
  <sheetData>
    <row r="1" ht="22" customHeight="1">
      <c r="A1" s="1" t="inlineStr"/>
      <c r="B1" s="2" t="inlineStr">
        <is>
          <t>FOURWALL  ·  MARGIN KIT</t>
        </is>
      </c>
      <c r="E1" s="1" t="inlineStr"/>
      <c r="F1" s="1" t="inlineStr"/>
      <c r="G1" s="1" t="inlineStr"/>
      <c r="H1" s="1" t="inlineStr"/>
      <c r="I1" s="1" t="inlineStr"/>
      <c r="J1" s="1" t="inlineStr"/>
      <c r="K1" s="1" t="inlineStr"/>
      <c r="L1" s="3" t="inlineStr">
        <is>
          <t>FLASH P&amp;L</t>
        </is>
      </c>
    </row>
    <row r="2" ht="24" customHeight="1">
      <c r="A2" s="4" t="n"/>
      <c r="B2" s="101">
        <f>Company&amp;"  —  monthly flash"</f>
        <v/>
      </c>
      <c r="L2" s="4" t="n"/>
    </row>
    <row r="3" ht="18" customHeight="1">
      <c r="A3" s="4" t="n"/>
      <c r="B3" s="50">
        <f>PeriodLabel&amp;"  ·  "&amp;TEXT(Weeks,"0.00")&amp;" weeks  ·  print this page for the manager meeting"</f>
        <v/>
      </c>
      <c r="L3" s="4" t="n"/>
    </row>
    <row r="4" ht="18" customHeight="1">
      <c r="A4" s="4" t="n"/>
      <c r="B4" s="4" t="n"/>
      <c r="C4" s="4" t="n"/>
      <c r="D4" s="4" t="n"/>
      <c r="E4" s="4" t="n"/>
      <c r="F4" s="4" t="n"/>
      <c r="G4" s="4" t="n"/>
      <c r="H4" s="4" t="n"/>
      <c r="I4" s="4" t="n"/>
      <c r="J4" s="4" t="n"/>
      <c r="K4" s="4" t="n"/>
      <c r="L4" s="4" t="n"/>
    </row>
    <row r="5" ht="18" customHeight="1">
      <c r="A5" s="4" t="n"/>
      <c r="B5" s="4" t="n"/>
      <c r="C5" s="1">
        <f>IF(Loc1Name="","Location 1",Loc1Name)</f>
        <v/>
      </c>
      <c r="D5" s="1" t="n"/>
      <c r="E5" s="1">
        <f>IF(Loc2Name="","Location 2",Loc2Name)</f>
        <v/>
      </c>
      <c r="F5" s="1" t="n"/>
      <c r="G5" s="1">
        <f>IF(Loc3Name="","Location 3",Loc3Name)</f>
        <v/>
      </c>
      <c r="H5" s="1" t="n"/>
      <c r="I5" s="1" t="inlineStr">
        <is>
          <t>Group</t>
        </is>
      </c>
      <c r="J5" s="1" t="n"/>
      <c r="K5" s="4" t="n"/>
      <c r="L5" s="4" t="n"/>
    </row>
    <row r="6" ht="16" customHeight="1">
      <c r="A6" s="4" t="n"/>
      <c r="B6" s="102" t="inlineStr"/>
      <c r="C6" s="103" t="inlineStr">
        <is>
          <t>$</t>
        </is>
      </c>
      <c r="D6" s="103" t="inlineStr">
        <is>
          <t>% sales</t>
        </is>
      </c>
      <c r="E6" s="103" t="inlineStr">
        <is>
          <t>$</t>
        </is>
      </c>
      <c r="F6" s="103" t="inlineStr">
        <is>
          <t>% sales</t>
        </is>
      </c>
      <c r="G6" s="103" t="inlineStr">
        <is>
          <t>$</t>
        </is>
      </c>
      <c r="H6" s="103" t="inlineStr">
        <is>
          <t>% sales</t>
        </is>
      </c>
      <c r="I6" s="103" t="inlineStr">
        <is>
          <t>$</t>
        </is>
      </c>
      <c r="J6" s="103" t="inlineStr">
        <is>
          <t>% sales</t>
        </is>
      </c>
      <c r="K6" s="102" t="inlineStr">
        <is>
          <t>Note</t>
        </is>
      </c>
      <c r="L6" s="4" t="n"/>
    </row>
    <row r="7" ht="20" customHeight="1">
      <c r="A7" s="4" t="n"/>
      <c r="B7" s="64" t="inlineStr">
        <is>
          <t>Sales</t>
        </is>
      </c>
      <c r="C7" s="79">
        <f>IF(Loc1Name="","",Loc1Sales)</f>
        <v/>
      </c>
      <c r="D7" s="104">
        <f>IF(OR(Loc1Name="",Loc1Sales=0),"",(Loc1Sales)/Loc1Sales)</f>
        <v/>
      </c>
      <c r="E7" s="79">
        <f>IF(Loc2Name="","",Loc2Sales)</f>
        <v/>
      </c>
      <c r="F7" s="104">
        <f>IF(OR(Loc2Name="",Loc2Sales=0),"",(Loc2Sales)/Loc2Sales)</f>
        <v/>
      </c>
      <c r="G7" s="79">
        <f>IF(Loc3Name="","",Loc3Sales)</f>
        <v/>
      </c>
      <c r="H7" s="104">
        <f>IF(OR(Loc3Name="",Loc3Sales=0),"",(Loc3Sales)/Loc3Sales)</f>
        <v/>
      </c>
      <c r="I7" s="79">
        <f>GroupSales</f>
        <v/>
      </c>
      <c r="J7" s="104">
        <f>IF(GroupSales=0,"",(GroupSales)/GroupSales)</f>
        <v/>
      </c>
      <c r="K7" s="55" t="inlineStr">
        <is>
          <t>Net sales you run the rooms on.</t>
        </is>
      </c>
      <c r="L7" s="4" t="n"/>
    </row>
    <row r="8" ht="20" customHeight="1">
      <c r="A8" s="4" t="n"/>
      <c r="B8" s="58" t="inlineStr">
        <is>
          <t>Food / merchandise</t>
        </is>
      </c>
      <c r="C8" s="59">
        <f>IF(Loc1Name="","",Loc1Food)</f>
        <v/>
      </c>
      <c r="D8" s="105">
        <f>IF(OR(Loc1Name="",Loc1Sales=0),"",(Loc1Food)/Loc1Sales)</f>
        <v/>
      </c>
      <c r="E8" s="59">
        <f>IF(Loc2Name="","",Loc2Food)</f>
        <v/>
      </c>
      <c r="F8" s="105">
        <f>IF(OR(Loc2Name="",Loc2Sales=0),"",(Loc2Food)/Loc2Sales)</f>
        <v/>
      </c>
      <c r="G8" s="59">
        <f>IF(Loc3Name="","",Loc3Food)</f>
        <v/>
      </c>
      <c r="H8" s="105">
        <f>IF(OR(Loc3Name="",Loc3Sales=0),"",(Loc3Food)/Loc3Sales)</f>
        <v/>
      </c>
      <c r="I8" s="59">
        <f>GroupFood</f>
        <v/>
      </c>
      <c r="J8" s="105">
        <f>IF(GroupSales=0,"",(GroupFood)/GroupSales)</f>
        <v/>
      </c>
      <c r="K8" s="55" t="inlineStr"/>
      <c r="L8" s="4" t="n"/>
    </row>
    <row r="9" ht="20" customHeight="1">
      <c r="A9" s="4" t="n"/>
      <c r="B9" s="52" t="inlineStr">
        <is>
          <t>Beverage / 2nd category</t>
        </is>
      </c>
      <c r="C9" s="53">
        <f>IF(Loc1Name="","",Loc1Bev)</f>
        <v/>
      </c>
      <c r="D9" s="106">
        <f>IF(OR(Loc1Name="",Loc1Sales=0),"",(Loc1Bev)/Loc1Sales)</f>
        <v/>
      </c>
      <c r="E9" s="53">
        <f>IF(Loc2Name="","",Loc2Bev)</f>
        <v/>
      </c>
      <c r="F9" s="106">
        <f>IF(OR(Loc2Name="",Loc2Sales=0),"",(Loc2Bev)/Loc2Sales)</f>
        <v/>
      </c>
      <c r="G9" s="53">
        <f>IF(Loc3Name="","",Loc3Bev)</f>
        <v/>
      </c>
      <c r="H9" s="106">
        <f>IF(OR(Loc3Name="",Loc3Sales=0),"",(Loc3Bev)/Loc3Sales)</f>
        <v/>
      </c>
      <c r="I9" s="53">
        <f>GroupBev</f>
        <v/>
      </c>
      <c r="J9" s="106">
        <f>IF(GroupSales=0,"",(GroupBev)/GroupSales)</f>
        <v/>
      </c>
      <c r="K9" s="55" t="inlineStr">
        <is>
          <t>0 is fine if you do not split.</t>
        </is>
      </c>
      <c r="L9" s="4" t="n"/>
    </row>
    <row r="10" ht="20" customHeight="1">
      <c r="A10" s="4" t="n"/>
      <c r="B10" s="58" t="inlineStr">
        <is>
          <t>Labor (in-house)</t>
        </is>
      </c>
      <c r="C10" s="59">
        <f>IF(Loc1Name="","",Loc1Labor)</f>
        <v/>
      </c>
      <c r="D10" s="105">
        <f>IF(OR(Loc1Name="",Loc1Sales=0),"",(Loc1Labor)/Loc1Sales)</f>
        <v/>
      </c>
      <c r="E10" s="59">
        <f>IF(Loc2Name="","",Loc2Labor)</f>
        <v/>
      </c>
      <c r="F10" s="105">
        <f>IF(OR(Loc2Name="",Loc2Sales=0),"",(Loc2Labor)/Loc2Sales)</f>
        <v/>
      </c>
      <c r="G10" s="59">
        <f>IF(Loc3Name="","",Loc3Labor)</f>
        <v/>
      </c>
      <c r="H10" s="105">
        <f>IF(OR(Loc3Name="",Loc3Sales=0),"",(Loc3Labor)/Loc3Sales)</f>
        <v/>
      </c>
      <c r="I10" s="59">
        <f>GroupLabor</f>
        <v/>
      </c>
      <c r="J10" s="105">
        <f>IF(GroupSales=0,"",(GroupLabor)/GroupSales)</f>
        <v/>
      </c>
      <c r="K10" s="55" t="inlineStr">
        <is>
          <t>Not a full loaded P&amp;L.</t>
        </is>
      </c>
      <c r="L10" s="4" t="n"/>
    </row>
    <row r="11" ht="20" customHeight="1">
      <c r="A11" s="4" t="n"/>
      <c r="B11" s="107" t="inlineStr">
        <is>
          <t>PRIME COST</t>
        </is>
      </c>
      <c r="C11" s="108">
        <f>IF(Loc1Name="","",Loc1Food+Loc1Bev+Loc1Labor)</f>
        <v/>
      </c>
      <c r="D11" s="109">
        <f>IF(OR(Loc1Name="",Loc1Sales=0),"",(Loc1Food+Loc1Bev+Loc1Labor)/Loc1Sales)</f>
        <v/>
      </c>
      <c r="E11" s="108">
        <f>IF(Loc2Name="","",Loc2Food+Loc2Bev+Loc2Labor)</f>
        <v/>
      </c>
      <c r="F11" s="109">
        <f>IF(OR(Loc2Name="",Loc2Sales=0),"",(Loc2Food+Loc2Bev+Loc2Labor)/Loc2Sales)</f>
        <v/>
      </c>
      <c r="G11" s="108">
        <f>IF(Loc3Name="","",Loc3Food+Loc3Bev+Loc3Labor)</f>
        <v/>
      </c>
      <c r="H11" s="109">
        <f>IF(OR(Loc3Name="",Loc3Sales=0),"",(Loc3Food+Loc3Bev+Loc3Labor)/Loc3Sales)</f>
        <v/>
      </c>
      <c r="I11" s="108">
        <f>GroupFood+GroupBev+GroupLabor</f>
        <v/>
      </c>
      <c r="J11" s="109">
        <f>IF(GroupSales=0,"",(GroupFood+GroupBev+GroupLabor)/GroupSales)</f>
        <v/>
      </c>
      <c r="K11" s="91" t="inlineStr">
        <is>
          <t>Food + bev + labor.</t>
        </is>
      </c>
      <c r="L11" s="4" t="n"/>
    </row>
    <row r="12" ht="20" customHeight="1">
      <c r="A12" s="4" t="n"/>
      <c r="B12" s="58" t="inlineStr">
        <is>
          <t>Occupancy</t>
        </is>
      </c>
      <c r="C12" s="59">
        <f>IF(Loc1Name="","",Loc1Occ)</f>
        <v/>
      </c>
      <c r="D12" s="105">
        <f>IF(OR(Loc1Name="",Loc1Sales=0),"",(Loc1Occ)/Loc1Sales)</f>
        <v/>
      </c>
      <c r="E12" s="59">
        <f>IF(Loc2Name="","",Loc2Occ)</f>
        <v/>
      </c>
      <c r="F12" s="105">
        <f>IF(OR(Loc2Name="",Loc2Sales=0),"",(Loc2Occ)/Loc2Sales)</f>
        <v/>
      </c>
      <c r="G12" s="59">
        <f>IF(Loc3Name="","",Loc3Occ)</f>
        <v/>
      </c>
      <c r="H12" s="105">
        <f>IF(OR(Loc3Name="",Loc3Sales=0),"",(Loc3Occ)/Loc3Sales)</f>
        <v/>
      </c>
      <c r="I12" s="59">
        <f>GroupOcc</f>
        <v/>
      </c>
      <c r="J12" s="105">
        <f>IF(GroupSales=0,"",(GroupOcc)/GroupSales)</f>
        <v/>
      </c>
      <c r="K12" s="55" t="inlineStr"/>
      <c r="L12" s="4" t="n"/>
    </row>
    <row r="13" ht="20" customHeight="1">
      <c r="A13" s="4" t="n"/>
      <c r="B13" s="107" t="inlineStr">
        <is>
          <t>FOUR-WALL</t>
        </is>
      </c>
      <c r="C13" s="108">
        <f>IF(Loc1Name="","",Loc1Sales-(Loc1Food+Loc1Bev+Loc1Labor)-Loc1Occ)</f>
        <v/>
      </c>
      <c r="D13" s="109">
        <f>IF(OR(Loc1Name="",Loc1Sales=0),"",(Loc1Sales-(Loc1Food+Loc1Bev+Loc1Labor)-Loc1Occ)/Loc1Sales)</f>
        <v/>
      </c>
      <c r="E13" s="108">
        <f>IF(Loc2Name="","",Loc2Sales-(Loc2Food+Loc2Bev+Loc2Labor)-Loc2Occ)</f>
        <v/>
      </c>
      <c r="F13" s="109">
        <f>IF(OR(Loc2Name="",Loc2Sales=0),"",(Loc2Sales-(Loc2Food+Loc2Bev+Loc2Labor)-Loc2Occ)/Loc2Sales)</f>
        <v/>
      </c>
      <c r="G13" s="108">
        <f>IF(Loc3Name="","",Loc3Sales-(Loc3Food+Loc3Bev+Loc3Labor)-Loc3Occ)</f>
        <v/>
      </c>
      <c r="H13" s="109">
        <f>IF(OR(Loc3Name="",Loc3Sales=0),"",(Loc3Sales-(Loc3Food+Loc3Bev+Loc3Labor)-Loc3Occ)/Loc3Sales)</f>
        <v/>
      </c>
      <c r="I13" s="108">
        <f>GroupSales-(GroupFood+GroupBev+GroupLabor)-GroupOcc</f>
        <v/>
      </c>
      <c r="J13" s="109">
        <f>IF(GroupSales=0,"",(GroupSales-(GroupFood+GroupBev+GroupLabor)-GroupOcc)/GroupSales)</f>
        <v/>
      </c>
      <c r="K13" s="91" t="inlineStr">
        <is>
          <t>After prime and occupancy. Not net profit.</t>
        </is>
      </c>
      <c r="L13" s="4" t="n"/>
    </row>
    <row r="14" ht="18" customHeight="1">
      <c r="A14" s="4" t="n"/>
      <c r="B14" s="4" t="n"/>
      <c r="C14" s="4" t="n"/>
      <c r="D14" s="4" t="n"/>
      <c r="E14" s="4" t="n"/>
      <c r="F14" s="4" t="n"/>
      <c r="G14" s="4" t="n"/>
      <c r="H14" s="4" t="n"/>
      <c r="I14" s="4" t="n"/>
      <c r="J14" s="4" t="n"/>
      <c r="K14" s="4" t="n"/>
      <c r="L14" s="4" t="n"/>
    </row>
    <row r="15" ht="20" customHeight="1">
      <c r="A15" s="4" t="n"/>
      <c r="B15" s="64" t="inlineStr">
        <is>
          <t>Prime leak vs target</t>
        </is>
      </c>
      <c r="C15" s="79">
        <f>IF(Loc1Name="","",MAX(0,((Loc1Food+Loc1Bev+Loc1Labor)/Loc1Sales-PrimeTarget)*Loc1Sales))</f>
        <v/>
      </c>
      <c r="D15" s="110" t="inlineStr"/>
      <c r="E15" s="79">
        <f>IF(Loc2Name="","",MAX(0,((Loc2Food+Loc2Bev+Loc2Labor)/Loc2Sales-PrimeTarget)*Loc2Sales))</f>
        <v/>
      </c>
      <c r="F15" s="110" t="inlineStr"/>
      <c r="G15" s="79">
        <f>IF(Loc3Name="","",MAX(0,((Loc3Food+Loc3Bev+Loc3Labor)/Loc3Sales-PrimeTarget)*Loc3Sales))</f>
        <v/>
      </c>
      <c r="H15" s="110" t="inlineStr"/>
      <c r="I15" s="111">
        <f>IF(GroupSales=0,"",MAX(0,((GroupFood+GroupBev+GroupLabor)/GroupSales-PrimeTarget)*GroupSales))</f>
        <v/>
      </c>
      <c r="J15" s="112">
        <f>PrimeTarget</f>
        <v/>
      </c>
      <c r="K15" s="55" t="inlineStr">
        <is>
          <t>Cash prime sat above target. Target in the % column.</t>
        </is>
      </c>
      <c r="L15" s="4" t="n"/>
    </row>
    <row r="16" ht="20" customHeight="1">
      <c r="A16" s="4" t="n"/>
      <c r="B16" s="58" t="inlineStr">
        <is>
          <t>Labor $ / week</t>
        </is>
      </c>
      <c r="C16" s="59">
        <f>IF(Loc1Name="","",IF(Weeks=0,"",Loc1Labor/Weeks))</f>
        <v/>
      </c>
      <c r="D16" s="113" t="inlineStr"/>
      <c r="E16" s="59">
        <f>IF(Loc2Name="","",IF(Weeks=0,"",Loc2Labor/Weeks))</f>
        <v/>
      </c>
      <c r="F16" s="113" t="inlineStr"/>
      <c r="G16" s="59">
        <f>IF(Loc3Name="","",IF(Weeks=0,"",Loc3Labor/Weeks))</f>
        <v/>
      </c>
      <c r="H16" s="113" t="inlineStr"/>
      <c r="I16" s="54">
        <f>IF(Weeks=0,"",GroupLabor/Weeks)</f>
        <v/>
      </c>
      <c r="J16" s="114" t="inlineStr"/>
      <c r="K16" s="55" t="inlineStr">
        <is>
          <t>The number you actually schedule against.</t>
        </is>
      </c>
      <c r="L16" s="4" t="n"/>
    </row>
    <row r="17" ht="20" customHeight="1">
      <c r="A17" s="4" t="n"/>
      <c r="B17" s="52" t="inlineStr">
        <is>
          <t>Sales $ / week</t>
        </is>
      </c>
      <c r="C17" s="53">
        <f>IF(Loc1Name="","",IF(Weeks=0,"",Loc1Sales/Weeks))</f>
        <v/>
      </c>
      <c r="D17" s="110" t="inlineStr"/>
      <c r="E17" s="53">
        <f>IF(Loc2Name="","",IF(Weeks=0,"",Loc2Sales/Weeks))</f>
        <v/>
      </c>
      <c r="F17" s="110" t="inlineStr"/>
      <c r="G17" s="53">
        <f>IF(Loc3Name="","",IF(Weeks=0,"",Loc3Sales/Weeks))</f>
        <v/>
      </c>
      <c r="H17" s="110" t="inlineStr"/>
      <c r="I17" s="54">
        <f>IF(Weeks=0,"",GroupSales/Weeks)</f>
        <v/>
      </c>
      <c r="J17" s="114" t="inlineStr"/>
      <c r="K17" s="115" t="inlineStr"/>
      <c r="L17" s="4" t="n"/>
    </row>
    <row r="18" ht="20" customHeight="1">
      <c r="A18" s="4" t="n"/>
      <c r="B18" s="116" t="inlineStr">
        <is>
          <t>Carrying / dragging</t>
        </is>
      </c>
      <c r="C18" s="117">
        <f>IF(Loc1Name="","",IF(OR(GroupSales=0,Loc1Sales=0),"",IF((Loc1Sales-(Loc1Food+Loc1Bev+Loc1Labor)-Loc1Occ)/Loc1Sales&gt;=(GroupSales-(GroupFood+GroupBev+GroupLabor)-GroupOcc)/GroupSales,"Carrying","Dragging")))</f>
        <v/>
      </c>
      <c r="D18" s="113" t="inlineStr"/>
      <c r="E18" s="117">
        <f>IF(Loc2Name="","",IF(OR(GroupSales=0,Loc2Sales=0),"",IF((Loc2Sales-(Loc2Food+Loc2Bev+Loc2Labor)-Loc2Occ)/Loc2Sales&gt;=(GroupSales-(GroupFood+GroupBev+GroupLabor)-GroupOcc)/GroupSales,"Carrying","Dragging")))</f>
        <v/>
      </c>
      <c r="F18" s="113" t="inlineStr"/>
      <c r="G18" s="117">
        <f>IF(Loc3Name="","",IF(OR(GroupSales=0,Loc3Sales=0),"",IF((Loc3Sales-(Loc3Food+Loc3Bev+Loc3Labor)-Loc3Occ)/Loc3Sales&gt;=(GroupSales-(GroupFood+GroupBev+GroupLabor)-GroupOcc)/GroupSales,"Carrying","Dragging")))</f>
        <v/>
      </c>
      <c r="H18" s="113" t="inlineStr"/>
      <c r="I18" s="114" t="inlineStr">
        <is>
          <t>—</t>
        </is>
      </c>
      <c r="J18" s="114" t="inlineStr"/>
      <c r="K18" s="55" t="inlineStr">
        <is>
          <t>Vs group four-wall %.</t>
        </is>
      </c>
      <c r="L18" s="4" t="n"/>
    </row>
    <row r="19" ht="18" customHeight="1">
      <c r="A19" s="4" t="n"/>
      <c r="B19" s="4" t="n"/>
      <c r="C19" s="4" t="n"/>
      <c r="D19" s="4" t="n"/>
      <c r="E19" s="4" t="n"/>
      <c r="F19" s="4" t="n"/>
      <c r="G19" s="4" t="n"/>
      <c r="H19" s="4" t="n"/>
      <c r="I19" s="4" t="n"/>
      <c r="J19" s="4" t="n"/>
      <c r="K19" s="4" t="n"/>
      <c r="L19" s="4" t="n"/>
    </row>
    <row r="20" ht="20" customHeight="1">
      <c r="A20" s="4" t="n"/>
      <c r="B20" s="9" t="inlineStr">
        <is>
          <t>60-SECOND READ  (formulas — updates with Inputs)</t>
        </is>
      </c>
      <c r="C20" s="10" t="n"/>
      <c r="D20" s="10" t="n"/>
      <c r="E20" s="10" t="n"/>
      <c r="F20" s="10" t="n"/>
      <c r="G20" s="10" t="n"/>
      <c r="H20" s="10" t="n"/>
      <c r="I20" s="10" t="n"/>
      <c r="J20" s="10" t="n"/>
      <c r="K20" s="10" t="n"/>
      <c r="L20" s="4" t="n"/>
    </row>
    <row r="21" ht="48" customHeight="1">
      <c r="A21" s="4" t="n"/>
      <c r="B21" s="118">
        <f>IF(GroupSales=0,"","Prime cost is "&amp;TEXT((GroupFood+GroupBev+GroupLabor)/GroupSales,"0.0%")&amp;" of sales against a "&amp;TEXT(PrimeTarget,"0%")&amp;" target. "&amp;IF(((GroupFood+GroupBev+GroupLabor)/GroupSales)&gt;PrimeTarget,"Leak is "&amp;TEXT(((GroupFood+GroupBev+GroupLabor)/GroupSales-PrimeTarget)*GroupSales,"$#,##0")&amp;" this period. ","You are inside (or under) target. ")&amp;"Four-wall is "&amp;TEXT(GroupSales-(GroupFood+GroupBev+GroupLabor)-GroupOcc,"$#,##0")&amp;" ("&amp;TEXT((GroupSales-(GroupFood+GroupBev+GroupLabor)-GroupOcc)/GroupSales,"0.0%")&amp;"). "&amp;IF(MIN('8-Week Cash'!K8:K15)&lt;0,"Cash: a week in the 8-week view ends negative (lowest "&amp;TEXT(MIN('8-Week Cash'!K8:K15),"$#,##0")&amp;"). Do not spend the four-wall number yet.","Cash: no negative week in the 8-week view (lowest "&amp;TEXT(MIN('8-Week Cash'!K8:K15),"$#,##0")&amp;")."))</f>
        <v/>
      </c>
      <c r="C21" s="119" t="n"/>
      <c r="D21" s="119" t="n"/>
      <c r="E21" s="119" t="n"/>
      <c r="F21" s="119" t="n"/>
      <c r="G21" s="119" t="n"/>
      <c r="H21" s="119" t="n"/>
      <c r="I21" s="119" t="n"/>
      <c r="J21" s="119" t="n"/>
      <c r="K21" s="119" t="n"/>
      <c r="L21" s="4" t="n"/>
    </row>
    <row r="22" ht="18" customHeight="1">
      <c r="A22" s="4" t="n"/>
      <c r="B22" s="4" t="n"/>
      <c r="C22" s="4" t="n"/>
      <c r="D22" s="4" t="n"/>
      <c r="E22" s="4" t="n"/>
      <c r="F22" s="4" t="n"/>
      <c r="G22" s="4" t="n"/>
      <c r="H22" s="4" t="n"/>
      <c r="I22" s="4" t="n"/>
      <c r="J22" s="4" t="n"/>
      <c r="K22" s="4" t="n"/>
      <c r="L22" s="4" t="n"/>
    </row>
    <row r="23" ht="20" customHeight="1">
      <c r="A23" s="4" t="n"/>
      <c r="B23" s="9" t="inlineStr">
        <is>
          <t>THREE MOVES THIS WEEK  (sand — overwrite for the meeting)</t>
        </is>
      </c>
      <c r="C23" s="10" t="n"/>
      <c r="D23" s="10" t="n"/>
      <c r="E23" s="10" t="n"/>
      <c r="F23" s="10" t="n"/>
      <c r="G23" s="10" t="n"/>
      <c r="H23" s="10" t="n"/>
      <c r="I23" s="10" t="n"/>
      <c r="J23" s="10" t="n"/>
      <c r="K23" s="10" t="n"/>
      <c r="L23" s="4" t="n"/>
    </row>
    <row r="24" ht="22" customHeight="1">
      <c r="A24" s="4" t="n"/>
      <c r="B24" s="120" t="inlineStr">
        <is>
          <t>1.</t>
        </is>
      </c>
      <c r="C24" s="121" t="inlineStr">
        <is>
          <t>Pine Street Grill: cut 40 FOH hours until labor % is under 28%. Schedule is the leak, not the menu.</t>
        </is>
      </c>
      <c r="D24" s="19" t="n"/>
      <c r="E24" s="19" t="n"/>
      <c r="F24" s="19" t="n"/>
      <c r="G24" s="19" t="n"/>
      <c r="H24" s="19" t="n"/>
      <c r="I24" s="19" t="n"/>
      <c r="J24" s="19" t="n"/>
      <c r="K24" s="19" t="n"/>
      <c r="L24" s="4" t="n"/>
    </row>
    <row r="25" ht="22" customHeight="1">
      <c r="A25" s="4" t="n"/>
      <c r="B25" s="120" t="inlineStr">
        <is>
          <t>2.</t>
        </is>
      </c>
      <c r="C25" s="121" t="inlineStr">
        <is>
          <t>Harbor Burger is a plowhorse. $1 of price or a smaller bun moves more four-wall than a new special.</t>
        </is>
      </c>
      <c r="D25" s="19" t="n"/>
      <c r="E25" s="19" t="n"/>
      <c r="F25" s="19" t="n"/>
      <c r="G25" s="19" t="n"/>
      <c r="H25" s="19" t="n"/>
      <c r="I25" s="19" t="n"/>
      <c r="J25" s="19" t="n"/>
      <c r="K25" s="19" t="n"/>
      <c r="L25" s="4" t="n"/>
    </row>
    <row r="26" ht="22" customHeight="1">
      <c r="A26" s="4" t="n"/>
      <c r="B26" s="120" t="inlineStr">
        <is>
          <t>3.</t>
        </is>
      </c>
      <c r="C26" s="121" t="inlineStr">
        <is>
          <t>Week of 24 Aug goes cash-negative when both rents clear. Do not float a repair check until week 2.</t>
        </is>
      </c>
      <c r="D26" s="19" t="n"/>
      <c r="E26" s="19" t="n"/>
      <c r="F26" s="19" t="n"/>
      <c r="G26" s="19" t="n"/>
      <c r="H26" s="19" t="n"/>
      <c r="I26" s="19" t="n"/>
      <c r="J26" s="19" t="n"/>
      <c r="K26" s="19" t="n"/>
      <c r="L26" s="4" t="n"/>
    </row>
    <row r="27" ht="18" customHeight="1">
      <c r="A27" s="4" t="n"/>
      <c r="B27" s="4" t="n"/>
      <c r="C27" s="4" t="n"/>
      <c r="D27" s="4" t="n"/>
      <c r="E27" s="4" t="n"/>
      <c r="F27" s="4" t="n"/>
      <c r="G27" s="4" t="n"/>
      <c r="H27" s="4" t="n"/>
      <c r="I27" s="4" t="n"/>
      <c r="J27" s="4" t="n"/>
      <c r="K27" s="4" t="n"/>
      <c r="L27" s="4" t="n"/>
    </row>
    <row r="28" ht="28" customHeight="1">
      <c r="A28" s="4" t="n"/>
      <c r="B28" s="70" t="inlineStr">
        <is>
          <t>Decision tool, not accounting, not tax advice. Labor is in-house only. Four-wall ignores G&amp;A, debt, and owner draw. If this disagrees with QuickBooks, the paste is wrong — not the ledger. FourWall Margin Kit.</t>
        </is>
      </c>
      <c r="L28" s="4" t="n"/>
    </row>
    <row r="29" ht="18" customHeight="1">
      <c r="A29" s="4" t="n"/>
      <c r="B29" s="4" t="n"/>
      <c r="C29" s="4" t="n"/>
      <c r="D29" s="4" t="n"/>
      <c r="E29" s="4" t="n"/>
      <c r="F29" s="4" t="n"/>
      <c r="G29" s="4" t="n"/>
      <c r="H29" s="4" t="n"/>
      <c r="I29" s="4" t="n"/>
      <c r="J29" s="4" t="n"/>
      <c r="K29" s="4" t="n"/>
      <c r="L29" s="4" t="n"/>
    </row>
    <row r="30" ht="18" customHeight="1">
      <c r="A30" s="4" t="n"/>
      <c r="B30" s="4" t="n"/>
      <c r="C30" s="4" t="n"/>
      <c r="D30" s="4" t="n"/>
      <c r="E30" s="4" t="n"/>
      <c r="F30" s="4" t="n"/>
      <c r="G30" s="4" t="n"/>
      <c r="H30" s="4" t="n"/>
      <c r="I30" s="4" t="n"/>
      <c r="J30" s="4" t="n"/>
      <c r="K30" s="4" t="n"/>
      <c r="L30" s="4" t="n"/>
    </row>
  </sheetData>
  <mergeCells count="14">
    <mergeCell ref="C24:K24"/>
    <mergeCell ref="B23:K23"/>
    <mergeCell ref="C25:K25"/>
    <mergeCell ref="B1:D1"/>
    <mergeCell ref="C5:D5"/>
    <mergeCell ref="B21:K21"/>
    <mergeCell ref="G5:H5"/>
    <mergeCell ref="E5:F5"/>
    <mergeCell ref="I5:J5"/>
    <mergeCell ref="C26:K26"/>
    <mergeCell ref="B2:K2"/>
    <mergeCell ref="B20:K20"/>
    <mergeCell ref="B28:K28"/>
    <mergeCell ref="B3:K3"/>
  </mergeCells>
  <conditionalFormatting sqref="C18:G18">
    <cfRule type="expression" priority="1" dxfId="5">
      <formula>C18="Dragging"</formula>
    </cfRule>
  </conditionalFormatting>
  <printOptions horizontalCentered="1"/>
  <pageMargins left="0.5" right="0.5" top="0.7" bottom="0.55" header="0.28" footer="0.28"/>
  <pageSetup orientation="landscape" paperSize="1" fitToHeight="1" fitToWidth="1"/>
  <headerFooter>
    <oddHeader>&amp;L&amp;"Calibri"&amp;8FOURWALL  ·  MARGIN KIT</oddHeader>
    <oddFooter>&amp;L&amp;"Calibri"&amp;8Decision tool. Not accounting. Not tax.&amp;R&amp;"Calibri"&amp;8Page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FourWall</dc:creator>
  <dc:title>FourWall Margin Kit</dc:title>
  <dc:description>Operator decision workbook. Not accounting software.</dc:description>
  <dc:subject>Prime cost, four-wall contribution, menu mix, and 8-week cash for operators</dc:subject>
  <dcterms:created xsi:type="dcterms:W3CDTF">2026-08-25T00:00:00Z</dcterms:created>
  <dcterms:modified xsi:type="dcterms:W3CDTF">2026-08-25T17:56:17Z</dcterms:modified>
</cp:coreProperties>
</file>